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FORMULA RATES SPP\Annual Update AEP West Trans\True Ups\2025 Rate Year\Transcos\As Filed\"/>
    </mc:Choice>
  </mc:AlternateContent>
  <xr:revisionPtr revIDLastSave="0" documentId="13_ncr:1_{22D2373C-3408-4D6D-80A8-D2BBA073896D}" xr6:coauthVersionLast="47" xr6:coauthVersionMax="47" xr10:uidLastSave="{00000000-0000-0000-0000-000000000000}"/>
  <bookViews>
    <workbookView xWindow="-28920" yWindow="-105" windowWidth="29040" windowHeight="15720" activeTab="1" xr2:uid="{00000000-000D-0000-FFFF-FFFF00000000}"/>
  </bookViews>
  <sheets>
    <sheet name="Instructions" sheetId="33" r:id="rId1"/>
    <sheet name="2025 NOLC Refund Detail" sheetId="34" r:id="rId2"/>
    <sheet name="Summary" sheetId="29" r:id="rId3"/>
    <sheet name="Pivot" sheetId="31" r:id="rId4"/>
    <sheet name="Transactions" sheetId="18" r:id="rId5"/>
  </sheets>
  <definedNames>
    <definedName name="_xlnm._FilterDatabase" localSheetId="4" hidden="1">Transactions!$A$15:$R$211</definedName>
    <definedName name="AS1_1999" localSheetId="4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2">Summary!$C$1:$I$39</definedName>
    <definedName name="_xlnm.Print_Area" localSheetId="4">Transactions!$A$1:$R$212</definedName>
    <definedName name="_xlnm.Print_Titles" localSheetId="3">Pivot!$3:$4</definedName>
    <definedName name="_xlnm.Print_Titles" localSheetId="4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9" l="1"/>
  <c r="D7" i="34" l="1"/>
  <c r="C10" i="34"/>
  <c r="H27" i="29" s="1"/>
  <c r="B13" i="34"/>
  <c r="B4" i="34"/>
  <c r="D10" i="34" l="1"/>
  <c r="D11" i="34"/>
  <c r="D18" i="34"/>
  <c r="D15" i="34"/>
  <c r="E15" i="34" s="1"/>
  <c r="D12" i="34"/>
  <c r="D16" i="34"/>
  <c r="D5" i="34"/>
  <c r="E5" i="34" s="1"/>
  <c r="D20" i="34"/>
  <c r="C15" i="34"/>
  <c r="H32" i="29" s="1"/>
  <c r="C5" i="34"/>
  <c r="H22" i="29" s="1"/>
  <c r="C18" i="34"/>
  <c r="H35" i="29" s="1"/>
  <c r="C20" i="34"/>
  <c r="H37" i="29" s="1"/>
  <c r="E10" i="34"/>
  <c r="E18" i="34"/>
  <c r="C8" i="34"/>
  <c r="H25" i="29" s="1"/>
  <c r="C13" i="34"/>
  <c r="H30" i="29" s="1"/>
  <c r="D8" i="34"/>
  <c r="C11" i="34"/>
  <c r="H28" i="29" s="1"/>
  <c r="D13" i="34"/>
  <c r="C16" i="34"/>
  <c r="H33" i="29" s="1"/>
  <c r="E2" i="34"/>
  <c r="C6" i="34"/>
  <c r="H23" i="29" s="1"/>
  <c r="D6" i="34"/>
  <c r="C9" i="34"/>
  <c r="H26" i="29" s="1"/>
  <c r="C14" i="34"/>
  <c r="H31" i="29" s="1"/>
  <c r="D19" i="34"/>
  <c r="C19" i="34"/>
  <c r="H36" i="29" s="1"/>
  <c r="C4" i="34"/>
  <c r="H21" i="29" s="1"/>
  <c r="D9" i="34"/>
  <c r="C12" i="34"/>
  <c r="H29" i="29" s="1"/>
  <c r="D14" i="34"/>
  <c r="D4" i="34"/>
  <c r="C7" i="34"/>
  <c r="H24" i="29" s="1"/>
  <c r="D21" i="34" l="1"/>
  <c r="E20" i="34"/>
  <c r="E19" i="34"/>
  <c r="E14" i="34"/>
  <c r="E11" i="34"/>
  <c r="E9" i="34"/>
  <c r="E16" i="34"/>
  <c r="E7" i="34"/>
  <c r="E12" i="34"/>
  <c r="E6" i="34"/>
  <c r="C17" i="34"/>
  <c r="E4" i="34"/>
  <c r="D17" i="34"/>
  <c r="C21" i="34"/>
  <c r="E13" i="34"/>
  <c r="E8" i="34"/>
  <c r="D22" i="34" l="1"/>
  <c r="E21" i="34"/>
  <c r="C22" i="34"/>
  <c r="E17" i="34"/>
  <c r="E22" i="34" s="1"/>
  <c r="L3" i="18" l="1"/>
  <c r="O191" i="18" l="1"/>
  <c r="K1" i="18"/>
  <c r="O59" i="18"/>
  <c r="O67" i="18"/>
  <c r="O210" i="18"/>
  <c r="O202" i="18"/>
  <c r="O178" i="18"/>
  <c r="O146" i="18"/>
  <c r="O138" i="18"/>
  <c r="O98" i="18"/>
  <c r="O90" i="18"/>
  <c r="O38" i="18"/>
  <c r="O209" i="18"/>
  <c r="O181" i="18"/>
  <c r="O177" i="18"/>
  <c r="O145" i="18"/>
  <c r="O121" i="18"/>
  <c r="O97" i="18"/>
  <c r="O81" i="18"/>
  <c r="O73" i="18"/>
  <c r="O49" i="18"/>
  <c r="O25" i="18"/>
  <c r="O208" i="18"/>
  <c r="O180" i="18"/>
  <c r="O160" i="18"/>
  <c r="O152" i="18"/>
  <c r="O120" i="18"/>
  <c r="O100" i="18"/>
  <c r="O96" i="18"/>
  <c r="O72" i="18"/>
  <c r="O52" i="18"/>
  <c r="O48" i="18"/>
  <c r="O23" i="18"/>
  <c r="O119" i="18"/>
  <c r="O135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C3" i="29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54" i="18" s="1"/>
  <c r="D38" i="18"/>
  <c r="D50" i="18" s="1"/>
  <c r="J19" i="18"/>
  <c r="D43" i="18"/>
  <c r="D67" i="18" s="1"/>
  <c r="D79" i="18" s="1"/>
  <c r="B31" i="18"/>
  <c r="D42" i="18"/>
  <c r="D66" i="18" s="1"/>
  <c r="B30" i="18"/>
  <c r="D41" i="18"/>
  <c r="D65" i="18" s="1"/>
  <c r="D89" i="18" s="1"/>
  <c r="D101" i="18" s="1"/>
  <c r="D113" i="18" s="1"/>
  <c r="D125" i="18" s="1"/>
  <c r="D137" i="18" s="1"/>
  <c r="D149" i="18" s="1"/>
  <c r="D161" i="18" s="1"/>
  <c r="D185" i="18" s="1"/>
  <c r="D197" i="18" s="1"/>
  <c r="D209" i="18" s="1"/>
  <c r="B29" i="18"/>
  <c r="B28" i="18"/>
  <c r="C39" i="18"/>
  <c r="C51" i="18" s="1"/>
  <c r="D39" i="18"/>
  <c r="D51" i="18" s="1"/>
  <c r="B27" i="18"/>
  <c r="B26" i="18"/>
  <c r="B25" i="18"/>
  <c r="B24" i="18"/>
  <c r="B23" i="18"/>
  <c r="B22" i="18"/>
  <c r="B21" i="18"/>
  <c r="D32" i="18"/>
  <c r="B16" i="18"/>
  <c r="J1" i="18"/>
  <c r="C43" i="18"/>
  <c r="B175" i="18"/>
  <c r="B174" i="18"/>
  <c r="B173" i="18"/>
  <c r="B172" i="18"/>
  <c r="B171" i="18"/>
  <c r="C38" i="18"/>
  <c r="B170" i="18"/>
  <c r="C37" i="18"/>
  <c r="C61" i="18" s="1"/>
  <c r="C85" i="18" s="1"/>
  <c r="C97" i="18" s="1"/>
  <c r="C109" i="18" s="1"/>
  <c r="C121" i="18" s="1"/>
  <c r="C133" i="18" s="1"/>
  <c r="C145" i="18" s="1"/>
  <c r="C157" i="18" s="1"/>
  <c r="B169" i="18"/>
  <c r="B168" i="18"/>
  <c r="B167" i="18"/>
  <c r="B166" i="18"/>
  <c r="C33" i="18"/>
  <c r="C45" i="18" s="1"/>
  <c r="B165" i="18"/>
  <c r="C32" i="18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59" i="18" s="1"/>
  <c r="C83" i="18" s="1"/>
  <c r="C95" i="18" s="1"/>
  <c r="C107" i="18" s="1"/>
  <c r="C119" i="18" s="1"/>
  <c r="C131" i="18" s="1"/>
  <c r="C143" i="18" s="1"/>
  <c r="C155" i="18" s="1"/>
  <c r="C34" i="18"/>
  <c r="C46" i="18" s="1"/>
  <c r="C41" i="18"/>
  <c r="C65" i="18" s="1"/>
  <c r="C89" i="18" s="1"/>
  <c r="C101" i="18" s="1"/>
  <c r="C113" i="18" s="1"/>
  <c r="C125" i="18" s="1"/>
  <c r="C137" i="18" s="1"/>
  <c r="C149" i="18" s="1"/>
  <c r="C161" i="18" s="1"/>
  <c r="D36" i="18"/>
  <c r="D60" i="18" s="1"/>
  <c r="D84" i="18" s="1"/>
  <c r="D96" i="18" s="1"/>
  <c r="D108" i="18" s="1"/>
  <c r="D120" i="18" s="1"/>
  <c r="D132" i="18" s="1"/>
  <c r="D144" i="18" s="1"/>
  <c r="D156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D35" i="18"/>
  <c r="D37" i="18"/>
  <c r="D40" i="18"/>
  <c r="D52" i="18" s="1"/>
  <c r="D33" i="18"/>
  <c r="D57" i="18" s="1"/>
  <c r="D69" i="18" s="1"/>
  <c r="D34" i="18"/>
  <c r="D46" i="18" s="1"/>
  <c r="O139" i="18"/>
  <c r="O107" i="18"/>
  <c r="O175" i="18"/>
  <c r="O91" i="18"/>
  <c r="O99" i="18"/>
  <c r="O163" i="18"/>
  <c r="O190" i="18"/>
  <c r="O174" i="18"/>
  <c r="O126" i="18"/>
  <c r="O110" i="18"/>
  <c r="O78" i="18"/>
  <c r="O30" i="18"/>
  <c r="O173" i="18"/>
  <c r="O157" i="18"/>
  <c r="O125" i="18"/>
  <c r="O109" i="18"/>
  <c r="O77" i="18"/>
  <c r="O61" i="18"/>
  <c r="O204" i="18"/>
  <c r="O188" i="18"/>
  <c r="O140" i="18"/>
  <c r="O92" i="18"/>
  <c r="O60" i="18"/>
  <c r="O44" i="18"/>
  <c r="O103" i="18"/>
  <c r="O167" i="18"/>
  <c r="O183" i="18"/>
  <c r="O20" i="18"/>
  <c r="O84" i="18"/>
  <c r="O104" i="18"/>
  <c r="O128" i="18"/>
  <c r="O148" i="18"/>
  <c r="O168" i="18"/>
  <c r="O192" i="18"/>
  <c r="O21" i="18"/>
  <c r="O41" i="18"/>
  <c r="O65" i="18"/>
  <c r="O85" i="18"/>
  <c r="O105" i="18"/>
  <c r="O129" i="18"/>
  <c r="O149" i="18"/>
  <c r="O169" i="18"/>
  <c r="O193" i="18"/>
  <c r="O22" i="18"/>
  <c r="O42" i="18"/>
  <c r="O66" i="18"/>
  <c r="O86" i="18"/>
  <c r="O106" i="18"/>
  <c r="O130" i="18"/>
  <c r="O150" i="18"/>
  <c r="O170" i="18"/>
  <c r="O194" i="18"/>
  <c r="O195" i="18"/>
  <c r="O115" i="18"/>
  <c r="O187" i="18"/>
  <c r="O27" i="18"/>
  <c r="O79" i="18"/>
  <c r="O43" i="18"/>
  <c r="O159" i="18"/>
  <c r="O75" i="18"/>
  <c r="O198" i="18"/>
  <c r="O147" i="18"/>
  <c r="O51" i="18"/>
  <c r="O207" i="18"/>
  <c r="O171" i="18"/>
  <c r="O211" i="18"/>
  <c r="O58" i="18"/>
  <c r="O114" i="18"/>
  <c r="O166" i="18"/>
  <c r="O83" i="18"/>
  <c r="O203" i="18"/>
  <c r="O95" i="18"/>
  <c r="O63" i="18"/>
  <c r="O111" i="18"/>
  <c r="O131" i="18"/>
  <c r="O186" i="18"/>
  <c r="O162" i="18"/>
  <c r="O134" i="18"/>
  <c r="O102" i="18"/>
  <c r="O82" i="18"/>
  <c r="O54" i="18"/>
  <c r="O34" i="18"/>
  <c r="O197" i="18"/>
  <c r="O165" i="18"/>
  <c r="O137" i="18"/>
  <c r="O117" i="18"/>
  <c r="O69" i="18"/>
  <c r="O37" i="18"/>
  <c r="O200" i="18"/>
  <c r="O176" i="18"/>
  <c r="O144" i="18"/>
  <c r="O116" i="18"/>
  <c r="O88" i="18"/>
  <c r="O68" i="18"/>
  <c r="O36" i="18"/>
  <c r="O55" i="18"/>
  <c r="O151" i="18"/>
  <c r="O31" i="18"/>
  <c r="O158" i="18"/>
  <c r="O62" i="18"/>
  <c r="O205" i="18"/>
  <c r="O45" i="18"/>
  <c r="O172" i="18"/>
  <c r="O124" i="18"/>
  <c r="O76" i="18"/>
  <c r="O28" i="18"/>
  <c r="O127" i="18"/>
  <c r="O40" i="18"/>
  <c r="O143" i="18"/>
  <c r="O155" i="18"/>
  <c r="O179" i="18"/>
  <c r="O182" i="18"/>
  <c r="O154" i="18"/>
  <c r="O122" i="18"/>
  <c r="O74" i="18"/>
  <c r="O50" i="18"/>
  <c r="O26" i="18"/>
  <c r="O185" i="18"/>
  <c r="O161" i="18"/>
  <c r="O133" i="18"/>
  <c r="O113" i="18"/>
  <c r="O89" i="18"/>
  <c r="O57" i="18"/>
  <c r="O33" i="18"/>
  <c r="O196" i="18"/>
  <c r="O164" i="18"/>
  <c r="O136" i="18"/>
  <c r="O112" i="18"/>
  <c r="O56" i="18"/>
  <c r="O32" i="18"/>
  <c r="O71" i="18"/>
  <c r="O199" i="18"/>
  <c r="O47" i="18"/>
  <c r="O35" i="18"/>
  <c r="O206" i="18"/>
  <c r="O142" i="18"/>
  <c r="O94" i="18"/>
  <c r="O46" i="18"/>
  <c r="O189" i="18"/>
  <c r="O141" i="18"/>
  <c r="O93" i="18"/>
  <c r="O29" i="18"/>
  <c r="O156" i="18"/>
  <c r="O108" i="18"/>
  <c r="O39" i="18"/>
  <c r="O87" i="18"/>
  <c r="O64" i="18"/>
  <c r="G30" i="29"/>
  <c r="D21" i="29"/>
  <c r="E37" i="29"/>
  <c r="G36" i="29"/>
  <c r="G28" i="29"/>
  <c r="G22" i="29"/>
  <c r="G26" i="29"/>
  <c r="E26" i="29"/>
  <c r="G23" i="29"/>
  <c r="E22" i="29"/>
  <c r="E32" i="29"/>
  <c r="G24" i="29"/>
  <c r="G32" i="29"/>
  <c r="D36" i="29"/>
  <c r="D29" i="29"/>
  <c r="D26" i="29"/>
  <c r="E23" i="29"/>
  <c r="G21" i="29"/>
  <c r="D35" i="29"/>
  <c r="D31" i="29"/>
  <c r="E28" i="29"/>
  <c r="E21" i="29"/>
  <c r="D23" i="29"/>
  <c r="E29" i="29"/>
  <c r="E25" i="29"/>
  <c r="E31" i="29"/>
  <c r="G27" i="29"/>
  <c r="E35" i="29"/>
  <c r="G31" i="29"/>
  <c r="D33" i="29"/>
  <c r="G33" i="29"/>
  <c r="G35" i="29"/>
  <c r="D32" i="29"/>
  <c r="E27" i="29"/>
  <c r="E24" i="29"/>
  <c r="G25" i="29"/>
  <c r="D28" i="29"/>
  <c r="D22" i="29"/>
  <c r="D25" i="29"/>
  <c r="E33" i="29"/>
  <c r="D30" i="29"/>
  <c r="E30" i="29"/>
  <c r="G37" i="29"/>
  <c r="E36" i="29"/>
  <c r="D37" i="29"/>
  <c r="D24" i="29"/>
  <c r="D27" i="29"/>
  <c r="G29" i="29"/>
  <c r="C73" i="18" l="1"/>
  <c r="C58" i="18"/>
  <c r="C82" i="18" s="1"/>
  <c r="C94" i="18" s="1"/>
  <c r="C106" i="18" s="1"/>
  <c r="C118" i="18" s="1"/>
  <c r="C130" i="18" s="1"/>
  <c r="C142" i="18" s="1"/>
  <c r="C154" i="18" s="1"/>
  <c r="C66" i="18"/>
  <c r="C90" i="18" s="1"/>
  <c r="C102" i="18" s="1"/>
  <c r="C114" i="18" s="1"/>
  <c r="C126" i="18" s="1"/>
  <c r="C138" i="18" s="1"/>
  <c r="C150" i="18" s="1"/>
  <c r="C162" i="18" s="1"/>
  <c r="C186" i="18" s="1"/>
  <c r="C198" i="18" s="1"/>
  <c r="C210" i="18" s="1"/>
  <c r="C49" i="18"/>
  <c r="D53" i="18"/>
  <c r="C63" i="18"/>
  <c r="C75" i="18" s="1"/>
  <c r="D64" i="18"/>
  <c r="D76" i="18" s="1"/>
  <c r="D55" i="18"/>
  <c r="D63" i="18"/>
  <c r="D75" i="18" s="1"/>
  <c r="C57" i="18"/>
  <c r="C81" i="18" s="1"/>
  <c r="C93" i="18" s="1"/>
  <c r="C105" i="18" s="1"/>
  <c r="C117" i="18" s="1"/>
  <c r="C129" i="18" s="1"/>
  <c r="C141" i="18" s="1"/>
  <c r="C153" i="18" s="1"/>
  <c r="C177" i="18" s="1"/>
  <c r="C189" i="18" s="1"/>
  <c r="C201" i="18" s="1"/>
  <c r="C72" i="18"/>
  <c r="D45" i="18"/>
  <c r="C53" i="18"/>
  <c r="D54" i="18"/>
  <c r="D81" i="18"/>
  <c r="D93" i="18" s="1"/>
  <c r="D105" i="18" s="1"/>
  <c r="D117" i="18" s="1"/>
  <c r="D129" i="18" s="1"/>
  <c r="D141" i="18" s="1"/>
  <c r="D153" i="18" s="1"/>
  <c r="D165" i="18" s="1"/>
  <c r="D77" i="18"/>
  <c r="D48" i="18"/>
  <c r="C71" i="18"/>
  <c r="D62" i="18"/>
  <c r="D74" i="18" s="1"/>
  <c r="E10" i="29"/>
  <c r="F10" i="29"/>
  <c r="E20" i="29"/>
  <c r="D20" i="29"/>
  <c r="C173" i="18"/>
  <c r="C185" i="18"/>
  <c r="C197" i="18" s="1"/>
  <c r="C209" i="18" s="1"/>
  <c r="C180" i="18"/>
  <c r="C192" i="18" s="1"/>
  <c r="C204" i="18" s="1"/>
  <c r="C168" i="18"/>
  <c r="D91" i="18"/>
  <c r="D103" i="18" s="1"/>
  <c r="D115" i="18" s="1"/>
  <c r="D127" i="18" s="1"/>
  <c r="D139" i="18" s="1"/>
  <c r="D151" i="18" s="1"/>
  <c r="D163" i="18" s="1"/>
  <c r="D187" i="18" s="1"/>
  <c r="D199" i="18" s="1"/>
  <c r="D211" i="18" s="1"/>
  <c r="D58" i="18"/>
  <c r="C48" i="18"/>
  <c r="D72" i="18"/>
  <c r="C77" i="18"/>
  <c r="C47" i="18"/>
  <c r="G34" i="29"/>
  <c r="E38" i="29"/>
  <c r="F29" i="29"/>
  <c r="I29" i="29" s="1"/>
  <c r="F31" i="29"/>
  <c r="I31" i="29" s="1"/>
  <c r="F22" i="29"/>
  <c r="I22" i="29" s="1"/>
  <c r="F23" i="29"/>
  <c r="I23" i="29" s="1"/>
  <c r="F36" i="29"/>
  <c r="I36" i="29" s="1"/>
  <c r="G38" i="29"/>
  <c r="F25" i="29"/>
  <c r="I25" i="29" s="1"/>
  <c r="F30" i="29"/>
  <c r="I30" i="29" s="1"/>
  <c r="F27" i="29"/>
  <c r="I27" i="29" s="1"/>
  <c r="F21" i="29"/>
  <c r="I21" i="29" s="1"/>
  <c r="D34" i="29"/>
  <c r="D38" i="29"/>
  <c r="F35" i="29"/>
  <c r="I35" i="29" s="1"/>
  <c r="F33" i="29"/>
  <c r="I33" i="29" s="1"/>
  <c r="F32" i="29"/>
  <c r="I32" i="29" s="1"/>
  <c r="H38" i="29"/>
  <c r="F37" i="29"/>
  <c r="I37" i="29" s="1"/>
  <c r="E34" i="29"/>
  <c r="F24" i="29"/>
  <c r="I24" i="29" s="1"/>
  <c r="H34" i="29"/>
  <c r="F28" i="29"/>
  <c r="I28" i="29" s="1"/>
  <c r="F26" i="29"/>
  <c r="I26" i="29" s="1"/>
  <c r="C181" i="18"/>
  <c r="C193" i="18" s="1"/>
  <c r="C205" i="18" s="1"/>
  <c r="C169" i="18"/>
  <c r="C167" i="18"/>
  <c r="C179" i="18"/>
  <c r="C191" i="18" s="1"/>
  <c r="C203" i="18" s="1"/>
  <c r="D168" i="18"/>
  <c r="D180" i="18"/>
  <c r="D192" i="18" s="1"/>
  <c r="D204" i="18" s="1"/>
  <c r="D173" i="18"/>
  <c r="D44" i="18"/>
  <c r="D56" i="18"/>
  <c r="D47" i="18"/>
  <c r="D59" i="18"/>
  <c r="C55" i="18"/>
  <c r="C67" i="18"/>
  <c r="D90" i="18"/>
  <c r="D102" i="18" s="1"/>
  <c r="D114" i="18" s="1"/>
  <c r="D126" i="18" s="1"/>
  <c r="D138" i="18" s="1"/>
  <c r="D150" i="18" s="1"/>
  <c r="D162" i="18" s="1"/>
  <c r="D78" i="18"/>
  <c r="C52" i="18"/>
  <c r="C64" i="18"/>
  <c r="C56" i="18"/>
  <c r="C44" i="18"/>
  <c r="D61" i="18"/>
  <c r="D49" i="18"/>
  <c r="C50" i="18"/>
  <c r="C62" i="18"/>
  <c r="O123" i="18"/>
  <c r="O118" i="18"/>
  <c r="O70" i="18"/>
  <c r="O201" i="18"/>
  <c r="O153" i="18"/>
  <c r="O101" i="18"/>
  <c r="O53" i="18"/>
  <c r="O184" i="18"/>
  <c r="O132" i="18"/>
  <c r="O80" i="18"/>
  <c r="O24" i="18"/>
  <c r="C70" i="18" l="1"/>
  <c r="D88" i="18"/>
  <c r="D100" i="18" s="1"/>
  <c r="D112" i="18" s="1"/>
  <c r="D124" i="18" s="1"/>
  <c r="D136" i="18" s="1"/>
  <c r="D148" i="18" s="1"/>
  <c r="D160" i="18" s="1"/>
  <c r="D172" i="18" s="1"/>
  <c r="C174" i="18"/>
  <c r="C87" i="18"/>
  <c r="C99" i="18" s="1"/>
  <c r="C111" i="18" s="1"/>
  <c r="C123" i="18" s="1"/>
  <c r="C135" i="18" s="1"/>
  <c r="C147" i="18" s="1"/>
  <c r="C159" i="18" s="1"/>
  <c r="C183" i="18" s="1"/>
  <c r="C195" i="18" s="1"/>
  <c r="C207" i="18" s="1"/>
  <c r="D87" i="18"/>
  <c r="D99" i="18" s="1"/>
  <c r="D111" i="18" s="1"/>
  <c r="D123" i="18" s="1"/>
  <c r="D135" i="18" s="1"/>
  <c r="D147" i="18" s="1"/>
  <c r="D159" i="18" s="1"/>
  <c r="D171" i="18" s="1"/>
  <c r="C78" i="18"/>
  <c r="D175" i="18"/>
  <c r="C165" i="18"/>
  <c r="C69" i="18"/>
  <c r="H39" i="29"/>
  <c r="D86" i="18"/>
  <c r="D98" i="18" s="1"/>
  <c r="D110" i="18" s="1"/>
  <c r="D122" i="18" s="1"/>
  <c r="D134" i="18" s="1"/>
  <c r="D146" i="18" s="1"/>
  <c r="D158" i="18" s="1"/>
  <c r="D177" i="18"/>
  <c r="D189" i="18" s="1"/>
  <c r="D201" i="18" s="1"/>
  <c r="E39" i="29"/>
  <c r="O13" i="18"/>
  <c r="D82" i="18"/>
  <c r="D94" i="18" s="1"/>
  <c r="D106" i="18" s="1"/>
  <c r="D118" i="18" s="1"/>
  <c r="D130" i="18" s="1"/>
  <c r="D142" i="18" s="1"/>
  <c r="D154" i="18" s="1"/>
  <c r="D70" i="18"/>
  <c r="C74" i="18"/>
  <c r="C86" i="18"/>
  <c r="C98" i="18" s="1"/>
  <c r="C110" i="18" s="1"/>
  <c r="C122" i="18" s="1"/>
  <c r="C134" i="18" s="1"/>
  <c r="C146" i="18" s="1"/>
  <c r="C158" i="18" s="1"/>
  <c r="D83" i="18"/>
  <c r="D95" i="18" s="1"/>
  <c r="D107" i="18" s="1"/>
  <c r="D119" i="18" s="1"/>
  <c r="D131" i="18" s="1"/>
  <c r="D143" i="18" s="1"/>
  <c r="D155" i="18" s="1"/>
  <c r="D71" i="18"/>
  <c r="F34" i="29"/>
  <c r="O14" i="18"/>
  <c r="C178" i="18"/>
  <c r="C190" i="18" s="1"/>
  <c r="C202" i="18" s="1"/>
  <c r="C166" i="18"/>
  <c r="D186" i="18"/>
  <c r="D198" i="18" s="1"/>
  <c r="D210" i="18" s="1"/>
  <c r="D174" i="18"/>
  <c r="F38" i="29"/>
  <c r="C76" i="18"/>
  <c r="C88" i="18"/>
  <c r="C100" i="18" s="1"/>
  <c r="C112" i="18" s="1"/>
  <c r="C124" i="18" s="1"/>
  <c r="C136" i="18" s="1"/>
  <c r="C148" i="18" s="1"/>
  <c r="C160" i="18" s="1"/>
  <c r="C91" i="18"/>
  <c r="C103" i="18" s="1"/>
  <c r="C115" i="18" s="1"/>
  <c r="C127" i="18" s="1"/>
  <c r="C139" i="18" s="1"/>
  <c r="C151" i="18" s="1"/>
  <c r="C163" i="18" s="1"/>
  <c r="C79" i="18"/>
  <c r="D73" i="18"/>
  <c r="D85" i="18"/>
  <c r="D97" i="18" s="1"/>
  <c r="D109" i="18" s="1"/>
  <c r="D121" i="18" s="1"/>
  <c r="D133" i="18" s="1"/>
  <c r="D145" i="18" s="1"/>
  <c r="D157" i="18" s="1"/>
  <c r="C80" i="18"/>
  <c r="C92" i="18" s="1"/>
  <c r="C104" i="18" s="1"/>
  <c r="C116" i="18" s="1"/>
  <c r="C128" i="18" s="1"/>
  <c r="C140" i="18" s="1"/>
  <c r="C152" i="18" s="1"/>
  <c r="C68" i="18"/>
  <c r="D68" i="18"/>
  <c r="D80" i="18"/>
  <c r="D92" i="18" s="1"/>
  <c r="D104" i="18" s="1"/>
  <c r="D116" i="18" s="1"/>
  <c r="D128" i="18" s="1"/>
  <c r="D140" i="18" s="1"/>
  <c r="D152" i="18" s="1"/>
  <c r="D39" i="29"/>
  <c r="G39" i="29"/>
  <c r="C171" i="18" l="1"/>
  <c r="D183" i="18"/>
  <c r="D195" i="18" s="1"/>
  <c r="D207" i="18" s="1"/>
  <c r="D184" i="18"/>
  <c r="D196" i="18" s="1"/>
  <c r="D208" i="18" s="1"/>
  <c r="F39" i="29"/>
  <c r="D170" i="18"/>
  <c r="D182" i="18"/>
  <c r="D194" i="18" s="1"/>
  <c r="D206" i="18" s="1"/>
  <c r="D178" i="18"/>
  <c r="D190" i="18" s="1"/>
  <c r="D202" i="18" s="1"/>
  <c r="D166" i="18"/>
  <c r="C172" i="18"/>
  <c r="C184" i="18"/>
  <c r="C196" i="18" s="1"/>
  <c r="C208" i="18" s="1"/>
  <c r="I38" i="29"/>
  <c r="C170" i="18"/>
  <c r="C182" i="18"/>
  <c r="C194" i="18" s="1"/>
  <c r="C206" i="18" s="1"/>
  <c r="I34" i="29"/>
  <c r="C164" i="18"/>
  <c r="C176" i="18"/>
  <c r="C188" i="18" s="1"/>
  <c r="C200" i="18" s="1"/>
  <c r="D164" i="18"/>
  <c r="D176" i="18"/>
  <c r="D188" i="18" s="1"/>
  <c r="D200" i="18" s="1"/>
  <c r="D181" i="18"/>
  <c r="D193" i="18" s="1"/>
  <c r="D205" i="18" s="1"/>
  <c r="D169" i="18"/>
  <c r="C187" i="18"/>
  <c r="C199" i="18" s="1"/>
  <c r="C211" i="18" s="1"/>
  <c r="C175" i="18"/>
  <c r="D179" i="18"/>
  <c r="D191" i="18" s="1"/>
  <c r="D203" i="18" s="1"/>
  <c r="D167" i="18"/>
  <c r="I39" i="29" l="1"/>
  <c r="E11" i="29" l="1"/>
  <c r="H186" i="18" l="1"/>
  <c r="H170" i="18"/>
  <c r="H138" i="18"/>
  <c r="H55" i="18"/>
  <c r="H62" i="18"/>
  <c r="H193" i="18"/>
  <c r="H161" i="18"/>
  <c r="H129" i="18"/>
  <c r="H97" i="18"/>
  <c r="H65" i="18"/>
  <c r="H33" i="18"/>
  <c r="H192" i="18"/>
  <c r="H160" i="18"/>
  <c r="H128" i="18"/>
  <c r="H96" i="18"/>
  <c r="H64" i="18"/>
  <c r="H32" i="18"/>
  <c r="H195" i="18"/>
  <c r="H163" i="18"/>
  <c r="H131" i="18"/>
  <c r="H99" i="18"/>
  <c r="H67" i="18"/>
  <c r="H98" i="18"/>
  <c r="H35" i="18"/>
  <c r="H134" i="18"/>
  <c r="H142" i="18"/>
  <c r="H85" i="18"/>
  <c r="H180" i="18"/>
  <c r="H84" i="18"/>
  <c r="H183" i="18"/>
  <c r="H87" i="18"/>
  <c r="H59" i="18"/>
  <c r="H94" i="18"/>
  <c r="H49" i="18"/>
  <c r="H144" i="18"/>
  <c r="H48" i="18"/>
  <c r="H179" i="18"/>
  <c r="H83" i="18"/>
  <c r="H70" i="18"/>
  <c r="H101" i="18"/>
  <c r="H132" i="18"/>
  <c r="H199" i="18"/>
  <c r="H71" i="18"/>
  <c r="H118" i="18"/>
  <c r="H23" i="18"/>
  <c r="H202" i="18"/>
  <c r="H78" i="18"/>
  <c r="H90" i="18"/>
  <c r="H189" i="18"/>
  <c r="H157" i="18"/>
  <c r="H125" i="18"/>
  <c r="H93" i="18"/>
  <c r="H61" i="18"/>
  <c r="H29" i="18"/>
  <c r="H188" i="18"/>
  <c r="H156" i="18"/>
  <c r="H124" i="18"/>
  <c r="H92" i="18"/>
  <c r="H60" i="18"/>
  <c r="H28" i="18"/>
  <c r="H191" i="18"/>
  <c r="H159" i="18"/>
  <c r="H127" i="18"/>
  <c r="H95" i="18"/>
  <c r="H26" i="18"/>
  <c r="H114" i="18"/>
  <c r="H43" i="18"/>
  <c r="H150" i="18"/>
  <c r="H47" i="18"/>
  <c r="H53" i="18"/>
  <c r="H148" i="18"/>
  <c r="H52" i="18"/>
  <c r="H151" i="18"/>
  <c r="H42" i="18"/>
  <c r="H182" i="18"/>
  <c r="H174" i="18"/>
  <c r="H113" i="18"/>
  <c r="H176" i="18"/>
  <c r="H80" i="18"/>
  <c r="H147" i="18"/>
  <c r="H50" i="18"/>
  <c r="H133" i="18"/>
  <c r="H196" i="18"/>
  <c r="H68" i="18"/>
  <c r="H135" i="18"/>
  <c r="H210" i="18"/>
  <c r="H31" i="18"/>
  <c r="H22" i="18"/>
  <c r="H110" i="18"/>
  <c r="H122" i="18"/>
  <c r="H185" i="18"/>
  <c r="H153" i="18"/>
  <c r="H121" i="18"/>
  <c r="H89" i="18"/>
  <c r="H57" i="18"/>
  <c r="H25" i="18"/>
  <c r="H184" i="18"/>
  <c r="H152" i="18"/>
  <c r="H120" i="18"/>
  <c r="H88" i="18"/>
  <c r="H56" i="18"/>
  <c r="H24" i="18"/>
  <c r="H187" i="18"/>
  <c r="H155" i="18"/>
  <c r="H123" i="18"/>
  <c r="H91" i="18"/>
  <c r="H34" i="18"/>
  <c r="H130" i="18"/>
  <c r="H51" i="18"/>
  <c r="H166" i="18"/>
  <c r="H63" i="18"/>
  <c r="H154" i="18"/>
  <c r="H181" i="18"/>
  <c r="H149" i="18"/>
  <c r="H117" i="18"/>
  <c r="H21" i="18"/>
  <c r="H116" i="18"/>
  <c r="H20" i="18"/>
  <c r="H119" i="18"/>
  <c r="H146" i="18"/>
  <c r="H126" i="18"/>
  <c r="H209" i="18"/>
  <c r="H177" i="18"/>
  <c r="H145" i="18"/>
  <c r="H81" i="18"/>
  <c r="H208" i="18"/>
  <c r="H112" i="18"/>
  <c r="H211" i="18"/>
  <c r="H115" i="18"/>
  <c r="H162" i="18"/>
  <c r="H198" i="18"/>
  <c r="H197" i="18"/>
  <c r="H164" i="18"/>
  <c r="H36" i="18"/>
  <c r="H103" i="18"/>
  <c r="H190" i="18"/>
  <c r="H158" i="18"/>
  <c r="H206" i="18"/>
  <c r="H205" i="18"/>
  <c r="H173" i="18"/>
  <c r="H141" i="18"/>
  <c r="H109" i="18"/>
  <c r="H77" i="18"/>
  <c r="H45" i="18"/>
  <c r="H204" i="18"/>
  <c r="H172" i="18"/>
  <c r="H140" i="18"/>
  <c r="H108" i="18"/>
  <c r="H76" i="18"/>
  <c r="H44" i="18"/>
  <c r="H207" i="18"/>
  <c r="H175" i="18"/>
  <c r="H143" i="18"/>
  <c r="H111" i="18"/>
  <c r="H79" i="18"/>
  <c r="H58" i="18"/>
  <c r="H178" i="18"/>
  <c r="H86" i="18"/>
  <c r="H54" i="18"/>
  <c r="H38" i="18"/>
  <c r="H27" i="18"/>
  <c r="H30" i="18"/>
  <c r="H201" i="18"/>
  <c r="H169" i="18"/>
  <c r="H137" i="18"/>
  <c r="H105" i="18"/>
  <c r="H73" i="18"/>
  <c r="H41" i="18"/>
  <c r="H200" i="18"/>
  <c r="H168" i="18"/>
  <c r="H136" i="18"/>
  <c r="H104" i="18"/>
  <c r="H72" i="18"/>
  <c r="H40" i="18"/>
  <c r="H203" i="18"/>
  <c r="H171" i="18"/>
  <c r="H139" i="18"/>
  <c r="H107" i="18"/>
  <c r="H75" i="18"/>
  <c r="H66" i="18"/>
  <c r="H194" i="18"/>
  <c r="H102" i="18"/>
  <c r="H106" i="18"/>
  <c r="H74" i="18"/>
  <c r="H39" i="18"/>
  <c r="H46" i="18"/>
  <c r="H165" i="18"/>
  <c r="H69" i="18"/>
  <c r="H37" i="18"/>
  <c r="H100" i="18"/>
  <c r="H167" i="18"/>
  <c r="H82" i="18"/>
  <c r="E13" i="29"/>
  <c r="P70" i="18" l="1"/>
  <c r="K70" i="18"/>
  <c r="P110" i="18"/>
  <c r="K110" i="18"/>
  <c r="P134" i="18"/>
  <c r="K134" i="18"/>
  <c r="P158" i="18"/>
  <c r="K158" i="18"/>
  <c r="P28" i="18"/>
  <c r="K28" i="18"/>
  <c r="P52" i="18"/>
  <c r="K52" i="18"/>
  <c r="P72" i="18"/>
  <c r="K72" i="18"/>
  <c r="P80" i="18"/>
  <c r="K80" i="18"/>
  <c r="P88" i="18"/>
  <c r="K88" i="18"/>
  <c r="P96" i="18"/>
  <c r="K96" i="18"/>
  <c r="P104" i="18"/>
  <c r="K104" i="18"/>
  <c r="P112" i="18"/>
  <c r="K112" i="18"/>
  <c r="P120" i="18"/>
  <c r="K120" i="18"/>
  <c r="P128" i="18"/>
  <c r="K128" i="18"/>
  <c r="P136" i="18"/>
  <c r="K136" i="18"/>
  <c r="P144" i="18"/>
  <c r="K144" i="18"/>
  <c r="P152" i="18"/>
  <c r="K152" i="18"/>
  <c r="P160" i="18"/>
  <c r="K160" i="18"/>
  <c r="P168" i="18"/>
  <c r="K168" i="18"/>
  <c r="P176" i="18"/>
  <c r="K176" i="18"/>
  <c r="P184" i="18"/>
  <c r="K184" i="18"/>
  <c r="P192" i="18"/>
  <c r="K192" i="18"/>
  <c r="P200" i="18"/>
  <c r="K200" i="18"/>
  <c r="P208" i="18"/>
  <c r="K208" i="18"/>
  <c r="P60" i="18"/>
  <c r="K60" i="18"/>
  <c r="P118" i="18"/>
  <c r="K118" i="18"/>
  <c r="P81" i="18"/>
  <c r="K81" i="18"/>
  <c r="P105" i="18"/>
  <c r="K105" i="18"/>
  <c r="P129" i="18"/>
  <c r="K129" i="18"/>
  <c r="P137" i="18"/>
  <c r="K137" i="18"/>
  <c r="P153" i="18"/>
  <c r="K153" i="18"/>
  <c r="P185" i="18"/>
  <c r="K185" i="18"/>
  <c r="P38" i="18"/>
  <c r="K38" i="18"/>
  <c r="P46" i="18"/>
  <c r="K46" i="18"/>
  <c r="P54" i="18"/>
  <c r="K54" i="18"/>
  <c r="P74" i="18"/>
  <c r="K74" i="18"/>
  <c r="P82" i="18"/>
  <c r="K82" i="18"/>
  <c r="P90" i="18"/>
  <c r="K90" i="18"/>
  <c r="P98" i="18"/>
  <c r="K98" i="18"/>
  <c r="P106" i="18"/>
  <c r="K106" i="18"/>
  <c r="P114" i="18"/>
  <c r="K114" i="18"/>
  <c r="P122" i="18"/>
  <c r="K122" i="18"/>
  <c r="P130" i="18"/>
  <c r="K130" i="18"/>
  <c r="P138" i="18"/>
  <c r="K138" i="18"/>
  <c r="P146" i="18"/>
  <c r="K146" i="18"/>
  <c r="P154" i="18"/>
  <c r="K154" i="18"/>
  <c r="P162" i="18"/>
  <c r="K162" i="18"/>
  <c r="P170" i="18"/>
  <c r="K170" i="18"/>
  <c r="P178" i="18"/>
  <c r="K178" i="18"/>
  <c r="P186" i="18"/>
  <c r="K186" i="18"/>
  <c r="P194" i="18"/>
  <c r="K194" i="18"/>
  <c r="P202" i="18"/>
  <c r="K202" i="18"/>
  <c r="P210" i="18"/>
  <c r="K210" i="18"/>
  <c r="P62" i="18"/>
  <c r="K62" i="18"/>
  <c r="P34" i="18"/>
  <c r="K34" i="18"/>
  <c r="P50" i="18"/>
  <c r="K50" i="18"/>
  <c r="P102" i="18"/>
  <c r="K102" i="18"/>
  <c r="P166" i="18"/>
  <c r="K166" i="18"/>
  <c r="P36" i="18"/>
  <c r="K36" i="18"/>
  <c r="P37" i="18"/>
  <c r="K37" i="18"/>
  <c r="P53" i="18"/>
  <c r="K53" i="18"/>
  <c r="P73" i="18"/>
  <c r="K73" i="18"/>
  <c r="P97" i="18"/>
  <c r="K97" i="18"/>
  <c r="P113" i="18"/>
  <c r="K113" i="18"/>
  <c r="P161" i="18"/>
  <c r="K161" i="18"/>
  <c r="P169" i="18"/>
  <c r="K169" i="18"/>
  <c r="P209" i="18"/>
  <c r="K209" i="18"/>
  <c r="P30" i="18"/>
  <c r="K30" i="18"/>
  <c r="P39" i="18"/>
  <c r="K39" i="18"/>
  <c r="P47" i="18"/>
  <c r="K47" i="18"/>
  <c r="P83" i="18"/>
  <c r="K83" i="18"/>
  <c r="P91" i="18"/>
  <c r="K91" i="18"/>
  <c r="P107" i="18"/>
  <c r="K107" i="18"/>
  <c r="P115" i="18"/>
  <c r="K115" i="18"/>
  <c r="P123" i="18"/>
  <c r="K123" i="18"/>
  <c r="P131" i="18"/>
  <c r="K131" i="18"/>
  <c r="P139" i="18"/>
  <c r="K139" i="18"/>
  <c r="P147" i="18"/>
  <c r="K147" i="18"/>
  <c r="P155" i="18"/>
  <c r="K155" i="18"/>
  <c r="P163" i="18"/>
  <c r="K163" i="18"/>
  <c r="P171" i="18"/>
  <c r="K171" i="18"/>
  <c r="P179" i="18"/>
  <c r="K179" i="18"/>
  <c r="P187" i="18"/>
  <c r="K187" i="18"/>
  <c r="P195" i="18"/>
  <c r="K195" i="18"/>
  <c r="P203" i="18"/>
  <c r="K203" i="18"/>
  <c r="P211" i="18"/>
  <c r="K211" i="18"/>
  <c r="P63" i="18"/>
  <c r="K63" i="18"/>
  <c r="P86" i="18"/>
  <c r="K86" i="18"/>
  <c r="P142" i="18"/>
  <c r="K142" i="18"/>
  <c r="P21" i="18"/>
  <c r="K21" i="18"/>
  <c r="P45" i="18"/>
  <c r="K45" i="18"/>
  <c r="P121" i="18"/>
  <c r="K121" i="18"/>
  <c r="P177" i="18"/>
  <c r="K177" i="18"/>
  <c r="P201" i="18"/>
  <c r="K201" i="18"/>
  <c r="P61" i="18"/>
  <c r="K61" i="18"/>
  <c r="P22" i="18"/>
  <c r="K22" i="18"/>
  <c r="P55" i="18"/>
  <c r="K55" i="18"/>
  <c r="P75" i="18"/>
  <c r="K75" i="18"/>
  <c r="P68" i="18"/>
  <c r="K68" i="18"/>
  <c r="P76" i="18"/>
  <c r="K76" i="18"/>
  <c r="P84" i="18"/>
  <c r="K84" i="18"/>
  <c r="P92" i="18"/>
  <c r="K92" i="18"/>
  <c r="P100" i="18"/>
  <c r="K100" i="18"/>
  <c r="P108" i="18"/>
  <c r="K108" i="18"/>
  <c r="P116" i="18"/>
  <c r="K116" i="18"/>
  <c r="P124" i="18"/>
  <c r="K124" i="18"/>
  <c r="P132" i="18"/>
  <c r="K132" i="18"/>
  <c r="P140" i="18"/>
  <c r="K140" i="18"/>
  <c r="P148" i="18"/>
  <c r="K148" i="18"/>
  <c r="P156" i="18"/>
  <c r="K156" i="18"/>
  <c r="P164" i="18"/>
  <c r="K164" i="18"/>
  <c r="P172" i="18"/>
  <c r="K172" i="18"/>
  <c r="P180" i="18"/>
  <c r="K180" i="18"/>
  <c r="P188" i="18"/>
  <c r="K188" i="18"/>
  <c r="P196" i="18"/>
  <c r="K196" i="18"/>
  <c r="P204" i="18"/>
  <c r="K204" i="18"/>
  <c r="P56" i="18"/>
  <c r="K56" i="18"/>
  <c r="P64" i="18"/>
  <c r="K64" i="18"/>
  <c r="P26" i="18"/>
  <c r="K26" i="18"/>
  <c r="P42" i="18"/>
  <c r="K42" i="18"/>
  <c r="P78" i="18"/>
  <c r="K78" i="18"/>
  <c r="P94" i="18"/>
  <c r="K94" i="18"/>
  <c r="P126" i="18"/>
  <c r="K126" i="18"/>
  <c r="P150" i="18"/>
  <c r="K150" i="18"/>
  <c r="P174" i="18"/>
  <c r="K174" i="18"/>
  <c r="P44" i="18"/>
  <c r="K44" i="18"/>
  <c r="P29" i="18"/>
  <c r="K29" i="18"/>
  <c r="P89" i="18"/>
  <c r="K89" i="18"/>
  <c r="P145" i="18"/>
  <c r="K145" i="18"/>
  <c r="P193" i="18"/>
  <c r="K193" i="18"/>
  <c r="P23" i="18"/>
  <c r="K23" i="18"/>
  <c r="P31" i="18"/>
  <c r="K31" i="18"/>
  <c r="P99" i="18"/>
  <c r="K99" i="18"/>
  <c r="P24" i="18"/>
  <c r="K24" i="18"/>
  <c r="P32" i="18"/>
  <c r="K32" i="18"/>
  <c r="P40" i="18"/>
  <c r="K40" i="18"/>
  <c r="P48" i="18"/>
  <c r="K48" i="18"/>
  <c r="P25" i="18"/>
  <c r="K25" i="18"/>
  <c r="P33" i="18"/>
  <c r="K33" i="18"/>
  <c r="P41" i="18"/>
  <c r="K41" i="18"/>
  <c r="P49" i="18"/>
  <c r="K49" i="18"/>
  <c r="P69" i="18"/>
  <c r="K69" i="18"/>
  <c r="P77" i="18"/>
  <c r="K77" i="18"/>
  <c r="P85" i="18"/>
  <c r="K85" i="18"/>
  <c r="P93" i="18"/>
  <c r="K93" i="18"/>
  <c r="P101" i="18"/>
  <c r="K101" i="18"/>
  <c r="P109" i="18"/>
  <c r="K109" i="18"/>
  <c r="P117" i="18"/>
  <c r="K117" i="18"/>
  <c r="P125" i="18"/>
  <c r="K125" i="18"/>
  <c r="P133" i="18"/>
  <c r="K133" i="18"/>
  <c r="P141" i="18"/>
  <c r="K141" i="18"/>
  <c r="P149" i="18"/>
  <c r="K149" i="18"/>
  <c r="P157" i="18"/>
  <c r="K157" i="18"/>
  <c r="P165" i="18"/>
  <c r="K165" i="18"/>
  <c r="P173" i="18"/>
  <c r="K173" i="18"/>
  <c r="P181" i="18"/>
  <c r="K181" i="18"/>
  <c r="P189" i="18"/>
  <c r="K189" i="18"/>
  <c r="P197" i="18"/>
  <c r="K197" i="18"/>
  <c r="P205" i="18"/>
  <c r="K205" i="18"/>
  <c r="P57" i="18"/>
  <c r="K57" i="18"/>
  <c r="P65" i="18"/>
  <c r="K65" i="18"/>
  <c r="P206" i="18"/>
  <c r="K206" i="18"/>
  <c r="P58" i="18"/>
  <c r="K58" i="18"/>
  <c r="P66" i="18"/>
  <c r="K66" i="18"/>
  <c r="P182" i="18"/>
  <c r="K182" i="18"/>
  <c r="P190" i="18"/>
  <c r="K190" i="18"/>
  <c r="P198" i="18"/>
  <c r="K198" i="18"/>
  <c r="P27" i="18"/>
  <c r="K27" i="18"/>
  <c r="P35" i="18"/>
  <c r="K35" i="18"/>
  <c r="P43" i="18"/>
  <c r="K43" i="18"/>
  <c r="P51" i="18"/>
  <c r="K51" i="18"/>
  <c r="P71" i="18"/>
  <c r="K71" i="18"/>
  <c r="P79" i="18"/>
  <c r="K79" i="18"/>
  <c r="P87" i="18"/>
  <c r="K87" i="18"/>
  <c r="P95" i="18"/>
  <c r="K95" i="18"/>
  <c r="P103" i="18"/>
  <c r="K103" i="18"/>
  <c r="P111" i="18"/>
  <c r="K111" i="18"/>
  <c r="P119" i="18"/>
  <c r="K119" i="18"/>
  <c r="P127" i="18"/>
  <c r="K127" i="18"/>
  <c r="P135" i="18"/>
  <c r="K135" i="18"/>
  <c r="P143" i="18"/>
  <c r="K143" i="18"/>
  <c r="P151" i="18"/>
  <c r="K151" i="18"/>
  <c r="P159" i="18"/>
  <c r="K159" i="18"/>
  <c r="P167" i="18"/>
  <c r="K167" i="18"/>
  <c r="P175" i="18"/>
  <c r="K175" i="18"/>
  <c r="P183" i="18"/>
  <c r="K183" i="18"/>
  <c r="P191" i="18"/>
  <c r="K191" i="18"/>
  <c r="P199" i="18"/>
  <c r="K199" i="18"/>
  <c r="P207" i="18"/>
  <c r="K207" i="18"/>
  <c r="P59" i="18"/>
  <c r="K59" i="18"/>
  <c r="P67" i="18"/>
  <c r="K67" i="18"/>
  <c r="K20" i="18"/>
  <c r="G212" i="18"/>
  <c r="P20" i="18"/>
  <c r="K13" i="18" l="1"/>
  <c r="P13" i="18"/>
  <c r="P14" i="18"/>
  <c r="P212" i="18"/>
  <c r="K212" i="18"/>
  <c r="K14" i="18"/>
  <c r="F12" i="29" l="1"/>
  <c r="I81" i="18" l="1"/>
  <c r="J81" i="18" s="1"/>
  <c r="L81" i="18" s="1"/>
  <c r="I109" i="18"/>
  <c r="J109" i="18" s="1"/>
  <c r="L109" i="18" s="1"/>
  <c r="I107" i="18"/>
  <c r="J107" i="18" s="1"/>
  <c r="L107" i="18" s="1"/>
  <c r="I29" i="18"/>
  <c r="J29" i="18" s="1"/>
  <c r="L29" i="18" s="1"/>
  <c r="I35" i="18"/>
  <c r="J35" i="18" s="1"/>
  <c r="L35" i="18" s="1"/>
  <c r="I150" i="18"/>
  <c r="J150" i="18" s="1"/>
  <c r="L150" i="18" s="1"/>
  <c r="I203" i="18"/>
  <c r="J203" i="18" s="1"/>
  <c r="L203" i="18" s="1"/>
  <c r="I122" i="18"/>
  <c r="J122" i="18" s="1"/>
  <c r="L122" i="18" s="1"/>
  <c r="I121" i="18"/>
  <c r="J121" i="18" s="1"/>
  <c r="L121" i="18" s="1"/>
  <c r="I115" i="18"/>
  <c r="J115" i="18" s="1"/>
  <c r="L115" i="18" s="1"/>
  <c r="I74" i="18"/>
  <c r="J74" i="18" s="1"/>
  <c r="L74" i="18" s="1"/>
  <c r="I200" i="18"/>
  <c r="J200" i="18" s="1"/>
  <c r="L200" i="18" s="1"/>
  <c r="I156" i="18"/>
  <c r="J156" i="18" s="1"/>
  <c r="L156" i="18" s="1"/>
  <c r="I78" i="18"/>
  <c r="J78" i="18" s="1"/>
  <c r="L78" i="18" s="1"/>
  <c r="I180" i="18"/>
  <c r="J180" i="18" s="1"/>
  <c r="L180" i="18" s="1"/>
  <c r="I44" i="18"/>
  <c r="J44" i="18" s="1"/>
  <c r="L44" i="18" s="1"/>
  <c r="I104" i="18"/>
  <c r="J104" i="18" s="1"/>
  <c r="L104" i="18" s="1"/>
  <c r="I118" i="18"/>
  <c r="J118" i="18" s="1"/>
  <c r="L118" i="18" s="1"/>
  <c r="I190" i="18"/>
  <c r="J190" i="18" s="1"/>
  <c r="L190" i="18" s="1"/>
  <c r="I188" i="18"/>
  <c r="J188" i="18" s="1"/>
  <c r="L188" i="18" s="1"/>
  <c r="I114" i="18"/>
  <c r="J114" i="18" s="1"/>
  <c r="L114" i="18" s="1"/>
  <c r="I165" i="18"/>
  <c r="J165" i="18" s="1"/>
  <c r="L165" i="18" s="1"/>
  <c r="I135" i="18"/>
  <c r="J135" i="18" s="1"/>
  <c r="L135" i="18" s="1"/>
  <c r="I198" i="18"/>
  <c r="J198" i="18" s="1"/>
  <c r="L198" i="18" s="1"/>
  <c r="I128" i="18"/>
  <c r="J128" i="18" s="1"/>
  <c r="L128" i="18" s="1"/>
  <c r="I210" i="18"/>
  <c r="J210" i="18" s="1"/>
  <c r="L210" i="18" s="1"/>
  <c r="I191" i="18"/>
  <c r="J191" i="18" s="1"/>
  <c r="L191" i="18" s="1"/>
  <c r="I27" i="18"/>
  <c r="J27" i="18" s="1"/>
  <c r="L27" i="18" s="1"/>
  <c r="I65" i="18"/>
  <c r="J65" i="18" s="1"/>
  <c r="L65" i="18" s="1"/>
  <c r="I144" i="18"/>
  <c r="J144" i="18" s="1"/>
  <c r="L144" i="18" s="1"/>
  <c r="I182" i="18"/>
  <c r="J182" i="18" s="1"/>
  <c r="L182" i="18" s="1"/>
  <c r="I50" i="18"/>
  <c r="J50" i="18" s="1"/>
  <c r="L50" i="18" s="1"/>
  <c r="I205" i="18"/>
  <c r="J205" i="18" s="1"/>
  <c r="L205" i="18" s="1"/>
  <c r="I211" i="18"/>
  <c r="J211" i="18" s="1"/>
  <c r="L211" i="18" s="1"/>
  <c r="I97" i="18"/>
  <c r="J97" i="18" s="1"/>
  <c r="L97" i="18" s="1"/>
  <c r="I153" i="18"/>
  <c r="J153" i="18" s="1"/>
  <c r="L153" i="18" s="1"/>
  <c r="I147" i="18"/>
  <c r="J147" i="18" s="1"/>
  <c r="L147" i="18" s="1"/>
  <c r="I51" i="18"/>
  <c r="J51" i="18" s="1"/>
  <c r="L51" i="18" s="1"/>
  <c r="I164" i="18"/>
  <c r="J164" i="18" s="1"/>
  <c r="L164" i="18" s="1"/>
  <c r="I192" i="18"/>
  <c r="J192" i="18" s="1"/>
  <c r="L192" i="18" s="1"/>
  <c r="I102" i="18"/>
  <c r="J102" i="18" s="1"/>
  <c r="L102" i="18" s="1"/>
  <c r="I52" i="18"/>
  <c r="J52" i="18" s="1"/>
  <c r="L52" i="18" s="1"/>
  <c r="I117" i="18"/>
  <c r="J117" i="18" s="1"/>
  <c r="L117" i="18" s="1"/>
  <c r="I129" i="18"/>
  <c r="J129" i="18" s="1"/>
  <c r="L129" i="18" s="1"/>
  <c r="I127" i="18"/>
  <c r="J127" i="18" s="1"/>
  <c r="L127" i="18" s="1"/>
  <c r="I20" i="18"/>
  <c r="J20" i="18" s="1"/>
  <c r="I123" i="18"/>
  <c r="J123" i="18" s="1"/>
  <c r="L123" i="18" s="1"/>
  <c r="I88" i="18"/>
  <c r="J88" i="18" s="1"/>
  <c r="L88" i="18" s="1"/>
  <c r="I30" i="18"/>
  <c r="J30" i="18" s="1"/>
  <c r="L30" i="18" s="1"/>
  <c r="I99" i="18"/>
  <c r="J99" i="18" s="1"/>
  <c r="L99" i="18" s="1"/>
  <c r="I54" i="18"/>
  <c r="J54" i="18" s="1"/>
  <c r="L54" i="18" s="1"/>
  <c r="I87" i="18"/>
  <c r="J87" i="18" s="1"/>
  <c r="L87" i="18" s="1"/>
  <c r="I100" i="18"/>
  <c r="J100" i="18" s="1"/>
  <c r="L100" i="18" s="1"/>
  <c r="I93" i="18"/>
  <c r="J93" i="18" s="1"/>
  <c r="L93" i="18" s="1"/>
  <c r="I79" i="18"/>
  <c r="J79" i="18" s="1"/>
  <c r="L79" i="18" s="1"/>
  <c r="I143" i="18"/>
  <c r="J143" i="18" s="1"/>
  <c r="L143" i="18" s="1"/>
  <c r="I174" i="18"/>
  <c r="J174" i="18" s="1"/>
  <c r="L174" i="18" s="1"/>
  <c r="I37" i="18"/>
  <c r="J37" i="18" s="1"/>
  <c r="L37" i="18" s="1"/>
  <c r="I56" i="18"/>
  <c r="J56" i="18" s="1"/>
  <c r="I201" i="18"/>
  <c r="J201" i="18" s="1"/>
  <c r="L201" i="18" s="1"/>
  <c r="I199" i="18"/>
  <c r="J199" i="18" s="1"/>
  <c r="L199" i="18" s="1"/>
  <c r="I68" i="18"/>
  <c r="J68" i="18" s="1"/>
  <c r="L68" i="18" s="1"/>
  <c r="I184" i="18"/>
  <c r="J184" i="18" s="1"/>
  <c r="L184" i="18" s="1"/>
  <c r="I119" i="18"/>
  <c r="J119" i="18" s="1"/>
  <c r="L119" i="18" s="1"/>
  <c r="I111" i="18"/>
  <c r="J111" i="18" s="1"/>
  <c r="L111" i="18" s="1"/>
  <c r="I94" i="18"/>
  <c r="J94" i="18" s="1"/>
  <c r="L94" i="18" s="1"/>
  <c r="I73" i="18"/>
  <c r="J73" i="18" s="1"/>
  <c r="L73" i="18" s="1"/>
  <c r="I132" i="18"/>
  <c r="J132" i="18" s="1"/>
  <c r="L132" i="18" s="1"/>
  <c r="I34" i="18"/>
  <c r="J34" i="18" s="1"/>
  <c r="L34" i="18" s="1"/>
  <c r="I124" i="18"/>
  <c r="J124" i="18" s="1"/>
  <c r="L124" i="18" s="1"/>
  <c r="I145" i="18"/>
  <c r="J145" i="18" s="1"/>
  <c r="L145" i="18" s="1"/>
  <c r="I152" i="18"/>
  <c r="J152" i="18" s="1"/>
  <c r="L152" i="18" s="1"/>
  <c r="I22" i="18"/>
  <c r="J22" i="18" s="1"/>
  <c r="L22" i="18" s="1"/>
  <c r="I169" i="18"/>
  <c r="J169" i="18" s="1"/>
  <c r="L169" i="18" s="1"/>
  <c r="I40" i="18"/>
  <c r="J40" i="18" s="1"/>
  <c r="L40" i="18" s="1"/>
  <c r="I187" i="18"/>
  <c r="J187" i="18" s="1"/>
  <c r="L187" i="18" s="1"/>
  <c r="I137" i="18"/>
  <c r="J137" i="18" s="1"/>
  <c r="L137" i="18" s="1"/>
  <c r="I66" i="18"/>
  <c r="J66" i="18" s="1"/>
  <c r="L66" i="18" s="1"/>
  <c r="I162" i="18"/>
  <c r="J162" i="18" s="1"/>
  <c r="L162" i="18" s="1"/>
  <c r="I55" i="18"/>
  <c r="J55" i="18" s="1"/>
  <c r="L55" i="18" s="1"/>
  <c r="I170" i="18"/>
  <c r="J170" i="18" s="1"/>
  <c r="L170" i="18" s="1"/>
  <c r="I39" i="18"/>
  <c r="J39" i="18" s="1"/>
  <c r="L39" i="18" s="1"/>
  <c r="I176" i="18"/>
  <c r="J176" i="18" s="1"/>
  <c r="L176" i="18" s="1"/>
  <c r="I133" i="18"/>
  <c r="J133" i="18" s="1"/>
  <c r="L133" i="18" s="1"/>
  <c r="I113" i="18"/>
  <c r="J113" i="18" s="1"/>
  <c r="L113" i="18" s="1"/>
  <c r="I69" i="18"/>
  <c r="J69" i="18" s="1"/>
  <c r="L69" i="18" s="1"/>
  <c r="I91" i="18"/>
  <c r="J91" i="18" s="1"/>
  <c r="L91" i="18" s="1"/>
  <c r="I171" i="18"/>
  <c r="J171" i="18" s="1"/>
  <c r="L171" i="18" s="1"/>
  <c r="I208" i="18"/>
  <c r="J208" i="18" s="1"/>
  <c r="L208" i="18" s="1"/>
  <c r="I82" i="18"/>
  <c r="J82" i="18" s="1"/>
  <c r="L82" i="18" s="1"/>
  <c r="I26" i="18"/>
  <c r="J26" i="18" s="1"/>
  <c r="L26" i="18" s="1"/>
  <c r="I116" i="18"/>
  <c r="J116" i="18" s="1"/>
  <c r="L116" i="18" s="1"/>
  <c r="I46" i="18"/>
  <c r="J46" i="18" s="1"/>
  <c r="L46" i="18" s="1"/>
  <c r="I38" i="18"/>
  <c r="J38" i="18" s="1"/>
  <c r="L38" i="18" s="1"/>
  <c r="I23" i="18"/>
  <c r="J23" i="18" s="1"/>
  <c r="L23" i="18" s="1"/>
  <c r="I141" i="18"/>
  <c r="J141" i="18" s="1"/>
  <c r="L141" i="18" s="1"/>
  <c r="I41" i="18"/>
  <c r="J41" i="18" s="1"/>
  <c r="L41" i="18" s="1"/>
  <c r="I189" i="18"/>
  <c r="J189" i="18" s="1"/>
  <c r="L189" i="18" s="1"/>
  <c r="I106" i="18"/>
  <c r="J106" i="18" s="1"/>
  <c r="L106" i="18" s="1"/>
  <c r="I140" i="18"/>
  <c r="J140" i="18" s="1"/>
  <c r="L140" i="18" s="1"/>
  <c r="I142" i="18"/>
  <c r="J142" i="18" s="1"/>
  <c r="L142" i="18" s="1"/>
  <c r="I154" i="18"/>
  <c r="J154" i="18" s="1"/>
  <c r="L154" i="18" s="1"/>
  <c r="I146" i="18"/>
  <c r="J146" i="18" s="1"/>
  <c r="L146" i="18" s="1"/>
  <c r="I160" i="18"/>
  <c r="J160" i="18" s="1"/>
  <c r="L160" i="18" s="1"/>
  <c r="I196" i="18"/>
  <c r="J196" i="18" s="1"/>
  <c r="L196" i="18" s="1"/>
  <c r="I33" i="18"/>
  <c r="J33" i="18" s="1"/>
  <c r="L33" i="18" s="1"/>
  <c r="I71" i="18"/>
  <c r="J71" i="18" s="1"/>
  <c r="L71" i="18" s="1"/>
  <c r="I120" i="18"/>
  <c r="J120" i="18" s="1"/>
  <c r="L120" i="18" s="1"/>
  <c r="I148" i="18"/>
  <c r="J148" i="18" s="1"/>
  <c r="L148" i="18" s="1"/>
  <c r="I47" i="18"/>
  <c r="J47" i="18" s="1"/>
  <c r="L47" i="18" s="1"/>
  <c r="I139" i="18"/>
  <c r="J139" i="18" s="1"/>
  <c r="L139" i="18" s="1"/>
  <c r="I105" i="18"/>
  <c r="J105" i="18" s="1"/>
  <c r="L105" i="18" s="1"/>
  <c r="I84" i="18"/>
  <c r="J84" i="18" s="1"/>
  <c r="L84" i="18" s="1"/>
  <c r="I183" i="18"/>
  <c r="J183" i="18" s="1"/>
  <c r="L183" i="18" s="1"/>
  <c r="I112" i="18"/>
  <c r="J112" i="18" s="1"/>
  <c r="L112" i="18" s="1"/>
  <c r="I173" i="18"/>
  <c r="J173" i="18" s="1"/>
  <c r="L173" i="18" s="1"/>
  <c r="I59" i="18"/>
  <c r="J59" i="18" s="1"/>
  <c r="L59" i="18" s="1"/>
  <c r="I168" i="18"/>
  <c r="J168" i="18" s="1"/>
  <c r="L168" i="18" s="1"/>
  <c r="I101" i="18"/>
  <c r="J101" i="18" s="1"/>
  <c r="L101" i="18" s="1"/>
  <c r="I177" i="18"/>
  <c r="J177" i="18" s="1"/>
  <c r="L177" i="18" s="1"/>
  <c r="I136" i="18"/>
  <c r="J136" i="18" s="1"/>
  <c r="L136" i="18" s="1"/>
  <c r="I157" i="18"/>
  <c r="J157" i="18" s="1"/>
  <c r="L157" i="18" s="1"/>
  <c r="I209" i="18"/>
  <c r="J209" i="18" s="1"/>
  <c r="L209" i="18" s="1"/>
  <c r="I45" i="18"/>
  <c r="J45" i="18" s="1"/>
  <c r="L45" i="18" s="1"/>
  <c r="I24" i="18"/>
  <c r="J24" i="18" s="1"/>
  <c r="L24" i="18" s="1"/>
  <c r="F14" i="29"/>
  <c r="I207" i="18"/>
  <c r="J207" i="18" s="1"/>
  <c r="L207" i="18" s="1"/>
  <c r="I204" i="18"/>
  <c r="J204" i="18" s="1"/>
  <c r="L204" i="18" s="1"/>
  <c r="I181" i="18"/>
  <c r="J181" i="18" s="1"/>
  <c r="L181" i="18" s="1"/>
  <c r="I42" i="18"/>
  <c r="J42" i="18" s="1"/>
  <c r="L42" i="18" s="1"/>
  <c r="I53" i="18"/>
  <c r="J53" i="18" s="1"/>
  <c r="L53" i="18" s="1"/>
  <c r="I72" i="18"/>
  <c r="J72" i="18" s="1"/>
  <c r="L72" i="18" s="1"/>
  <c r="I197" i="18"/>
  <c r="J197" i="18" s="1"/>
  <c r="L197" i="18" s="1"/>
  <c r="I194" i="18"/>
  <c r="J194" i="18" s="1"/>
  <c r="L194" i="18" s="1"/>
  <c r="I167" i="18"/>
  <c r="J167" i="18" s="1"/>
  <c r="L167" i="18" s="1"/>
  <c r="I185" i="18"/>
  <c r="J185" i="18" s="1"/>
  <c r="L185" i="18" s="1"/>
  <c r="I49" i="18"/>
  <c r="J49" i="18" s="1"/>
  <c r="L49" i="18" s="1"/>
  <c r="I83" i="18"/>
  <c r="J83" i="18" s="1"/>
  <c r="L83" i="18" s="1"/>
  <c r="I134" i="18"/>
  <c r="J134" i="18" s="1"/>
  <c r="L134" i="18" s="1"/>
  <c r="I166" i="18"/>
  <c r="J166" i="18" s="1"/>
  <c r="L166" i="18" s="1"/>
  <c r="I149" i="18"/>
  <c r="J149" i="18" s="1"/>
  <c r="L149" i="18" s="1"/>
  <c r="I186" i="18"/>
  <c r="J186" i="18" s="1"/>
  <c r="L186" i="18" s="1"/>
  <c r="I130" i="18"/>
  <c r="J130" i="18" s="1"/>
  <c r="L130" i="18" s="1"/>
  <c r="I31" i="18"/>
  <c r="J31" i="18" s="1"/>
  <c r="L31" i="18" s="1"/>
  <c r="I43" i="18"/>
  <c r="J43" i="18" s="1"/>
  <c r="L43" i="18" s="1"/>
  <c r="I158" i="18"/>
  <c r="J158" i="18" s="1"/>
  <c r="L158" i="18" s="1"/>
  <c r="I125" i="18"/>
  <c r="J125" i="18" s="1"/>
  <c r="L125" i="18" s="1"/>
  <c r="I89" i="18"/>
  <c r="J89" i="18" s="1"/>
  <c r="L89" i="18" s="1"/>
  <c r="I32" i="18"/>
  <c r="J32" i="18" s="1"/>
  <c r="L32" i="18" s="1"/>
  <c r="I25" i="18"/>
  <c r="J25" i="18" s="1"/>
  <c r="L25" i="18" s="1"/>
  <c r="I58" i="18"/>
  <c r="J58" i="18" s="1"/>
  <c r="L58" i="18" s="1"/>
  <c r="I57" i="18"/>
  <c r="J57" i="18" s="1"/>
  <c r="L57" i="18" s="1"/>
  <c r="I202" i="18"/>
  <c r="J202" i="18" s="1"/>
  <c r="L202" i="18" s="1"/>
  <c r="I98" i="18"/>
  <c r="J98" i="18" s="1"/>
  <c r="L98" i="18" s="1"/>
  <c r="I36" i="18"/>
  <c r="J36" i="18" s="1"/>
  <c r="L36" i="18" s="1"/>
  <c r="I76" i="18"/>
  <c r="J76" i="18" s="1"/>
  <c r="L76" i="18" s="1"/>
  <c r="I28" i="18"/>
  <c r="J28" i="18" s="1"/>
  <c r="L28" i="18" s="1"/>
  <c r="I103" i="18"/>
  <c r="J103" i="18" s="1"/>
  <c r="L103" i="18" s="1"/>
  <c r="I80" i="18"/>
  <c r="J80" i="18" s="1"/>
  <c r="L80" i="18" s="1"/>
  <c r="I178" i="18"/>
  <c r="J178" i="18" s="1"/>
  <c r="L178" i="18" s="1"/>
  <c r="I77" i="18"/>
  <c r="J77" i="18" s="1"/>
  <c r="L77" i="18" s="1"/>
  <c r="I195" i="18"/>
  <c r="J195" i="18" s="1"/>
  <c r="L195" i="18" s="1"/>
  <c r="I151" i="18"/>
  <c r="J151" i="18" s="1"/>
  <c r="L151" i="18" s="1"/>
  <c r="I175" i="18"/>
  <c r="J175" i="18" s="1"/>
  <c r="L175" i="18" s="1"/>
  <c r="I48" i="18"/>
  <c r="J48" i="18" s="1"/>
  <c r="L48" i="18" s="1"/>
  <c r="I193" i="18"/>
  <c r="J193" i="18" s="1"/>
  <c r="L193" i="18" s="1"/>
  <c r="I179" i="18"/>
  <c r="J179" i="18" s="1"/>
  <c r="L179" i="18" s="1"/>
  <c r="I95" i="18"/>
  <c r="J95" i="18" s="1"/>
  <c r="L95" i="18" s="1"/>
  <c r="I155" i="18"/>
  <c r="J155" i="18" s="1"/>
  <c r="L155" i="18" s="1"/>
  <c r="I172" i="18"/>
  <c r="J172" i="18" s="1"/>
  <c r="L172" i="18" s="1"/>
  <c r="I126" i="18"/>
  <c r="J126" i="18" s="1"/>
  <c r="L126" i="18" s="1"/>
  <c r="I131" i="18"/>
  <c r="J131" i="18" s="1"/>
  <c r="L131" i="18" s="1"/>
  <c r="I92" i="18"/>
  <c r="J92" i="18" s="1"/>
  <c r="L92" i="18" s="1"/>
  <c r="I138" i="18"/>
  <c r="J138" i="18" s="1"/>
  <c r="L138" i="18" s="1"/>
  <c r="I85" i="18"/>
  <c r="J85" i="18" s="1"/>
  <c r="L85" i="18" s="1"/>
  <c r="I60" i="18"/>
  <c r="J60" i="18" s="1"/>
  <c r="L60" i="18" s="1"/>
  <c r="I96" i="18"/>
  <c r="J96" i="18" s="1"/>
  <c r="L96" i="18" s="1"/>
  <c r="I62" i="18"/>
  <c r="J62" i="18" s="1"/>
  <c r="L62" i="18" s="1"/>
  <c r="I90" i="18"/>
  <c r="J90" i="18" s="1"/>
  <c r="L90" i="18" s="1"/>
  <c r="I163" i="18"/>
  <c r="J163" i="18" s="1"/>
  <c r="L163" i="18" s="1"/>
  <c r="I161" i="18"/>
  <c r="J161" i="18" s="1"/>
  <c r="L161" i="18" s="1"/>
  <c r="I110" i="18"/>
  <c r="J110" i="18" s="1"/>
  <c r="L110" i="18" s="1"/>
  <c r="I21" i="18"/>
  <c r="J21" i="18" s="1"/>
  <c r="L21" i="18" s="1"/>
  <c r="I70" i="18"/>
  <c r="J70" i="18" s="1"/>
  <c r="L70" i="18" s="1"/>
  <c r="I75" i="18"/>
  <c r="J75" i="18" s="1"/>
  <c r="L75" i="18" s="1"/>
  <c r="I61" i="18"/>
  <c r="J61" i="18" s="1"/>
  <c r="L61" i="18" s="1"/>
  <c r="I67" i="18"/>
  <c r="J67" i="18" s="1"/>
  <c r="L67" i="18" s="1"/>
  <c r="I206" i="18"/>
  <c r="J206" i="18" s="1"/>
  <c r="L206" i="18" s="1"/>
  <c r="I63" i="18"/>
  <c r="J63" i="18" s="1"/>
  <c r="L63" i="18" s="1"/>
  <c r="I108" i="18"/>
  <c r="J108" i="18" s="1"/>
  <c r="L108" i="18" s="1"/>
  <c r="I86" i="18"/>
  <c r="J86" i="18" s="1"/>
  <c r="L86" i="18" s="1"/>
  <c r="I64" i="18"/>
  <c r="J64" i="18" s="1"/>
  <c r="L64" i="18" s="1"/>
  <c r="I159" i="18"/>
  <c r="J159" i="18" s="1"/>
  <c r="L159" i="18" s="1"/>
  <c r="J212" i="18" l="1"/>
  <c r="L20" i="18"/>
  <c r="J14" i="18"/>
  <c r="L56" i="18"/>
  <c r="J13" i="18"/>
  <c r="L13" i="18" l="1"/>
  <c r="L212" i="18"/>
  <c r="L14" i="18"/>
  <c r="M20" i="18" l="1"/>
  <c r="M72" i="18"/>
  <c r="N72" i="18" s="1"/>
  <c r="R72" i="18" s="1"/>
  <c r="M176" i="18"/>
  <c r="N176" i="18" s="1"/>
  <c r="R176" i="18" s="1"/>
  <c r="M160" i="18"/>
  <c r="N160" i="18" s="1"/>
  <c r="R160" i="18" s="1"/>
  <c r="M96" i="18"/>
  <c r="N96" i="18" s="1"/>
  <c r="R96" i="18" s="1"/>
  <c r="M34" i="18"/>
  <c r="N34" i="18" s="1"/>
  <c r="R34" i="18" s="1"/>
  <c r="M38" i="18"/>
  <c r="N38" i="18" s="1"/>
  <c r="R38" i="18" s="1"/>
  <c r="M175" i="18"/>
  <c r="N175" i="18" s="1"/>
  <c r="R175" i="18" s="1"/>
  <c r="M76" i="18"/>
  <c r="N76" i="18" s="1"/>
  <c r="R76" i="18" s="1"/>
  <c r="M146" i="18"/>
  <c r="N146" i="18" s="1"/>
  <c r="R146" i="18" s="1"/>
  <c r="M49" i="18"/>
  <c r="N49" i="18" s="1"/>
  <c r="R49" i="18" s="1"/>
  <c r="M27" i="18"/>
  <c r="N27" i="18" s="1"/>
  <c r="R27" i="18" s="1"/>
  <c r="M35" i="18"/>
  <c r="N35" i="18" s="1"/>
  <c r="R35" i="18" s="1"/>
  <c r="M180" i="18"/>
  <c r="N180" i="18" s="1"/>
  <c r="R180" i="18" s="1"/>
  <c r="M164" i="18"/>
  <c r="N164" i="18" s="1"/>
  <c r="R164" i="18" s="1"/>
  <c r="M207" i="18"/>
  <c r="N207" i="18" s="1"/>
  <c r="R207" i="18" s="1"/>
  <c r="M28" i="18"/>
  <c r="N28" i="18" s="1"/>
  <c r="R28" i="18" s="1"/>
  <c r="M65" i="18"/>
  <c r="N65" i="18" s="1"/>
  <c r="R65" i="18" s="1"/>
  <c r="M115" i="18"/>
  <c r="N115" i="18" s="1"/>
  <c r="R115" i="18" s="1"/>
  <c r="M120" i="18"/>
  <c r="N120" i="18" s="1"/>
  <c r="R120" i="18" s="1"/>
  <c r="M105" i="18"/>
  <c r="N105" i="18" s="1"/>
  <c r="R105" i="18" s="1"/>
  <c r="M82" i="18"/>
  <c r="N82" i="18" s="1"/>
  <c r="R82" i="18" s="1"/>
  <c r="M70" i="18"/>
  <c r="N70" i="18" s="1"/>
  <c r="R70" i="18" s="1"/>
  <c r="M134" i="18"/>
  <c r="N134" i="18" s="1"/>
  <c r="R134" i="18" s="1"/>
  <c r="M91" i="18"/>
  <c r="N91" i="18" s="1"/>
  <c r="R91" i="18" s="1"/>
  <c r="M29" i="18"/>
  <c r="N29" i="18" s="1"/>
  <c r="R29" i="18" s="1"/>
  <c r="M107" i="18"/>
  <c r="N107" i="18" s="1"/>
  <c r="R107" i="18" s="1"/>
  <c r="M24" i="18"/>
  <c r="N24" i="18" s="1"/>
  <c r="R24" i="18" s="1"/>
  <c r="M158" i="18"/>
  <c r="N158" i="18" s="1"/>
  <c r="R158" i="18" s="1"/>
  <c r="M197" i="18"/>
  <c r="N197" i="18" s="1"/>
  <c r="R197" i="18" s="1"/>
  <c r="M136" i="18"/>
  <c r="N136" i="18" s="1"/>
  <c r="R136" i="18" s="1"/>
  <c r="M173" i="18"/>
  <c r="N173" i="18" s="1"/>
  <c r="R173" i="18" s="1"/>
  <c r="M128" i="18"/>
  <c r="N128" i="18" s="1"/>
  <c r="R128" i="18" s="1"/>
  <c r="M80" i="18"/>
  <c r="N80" i="18" s="1"/>
  <c r="R80" i="18" s="1"/>
  <c r="M98" i="18"/>
  <c r="N98" i="18" s="1"/>
  <c r="R98" i="18" s="1"/>
  <c r="M89" i="18"/>
  <c r="N89" i="18" s="1"/>
  <c r="R89" i="18" s="1"/>
  <c r="M140" i="18"/>
  <c r="N140" i="18" s="1"/>
  <c r="R140" i="18" s="1"/>
  <c r="M81" i="18"/>
  <c r="N81" i="18" s="1"/>
  <c r="R81" i="18" s="1"/>
  <c r="M100" i="18"/>
  <c r="N100" i="18" s="1"/>
  <c r="R100" i="18" s="1"/>
  <c r="M52" i="18"/>
  <c r="N52" i="18" s="1"/>
  <c r="R52" i="18" s="1"/>
  <c r="M149" i="18"/>
  <c r="N149" i="18" s="1"/>
  <c r="R149" i="18" s="1"/>
  <c r="M156" i="18"/>
  <c r="N156" i="18" s="1"/>
  <c r="R156" i="18" s="1"/>
  <c r="M206" i="18"/>
  <c r="N206" i="18" s="1"/>
  <c r="R206" i="18" s="1"/>
  <c r="M168" i="18"/>
  <c r="N168" i="18" s="1"/>
  <c r="R168" i="18" s="1"/>
  <c r="M194" i="18"/>
  <c r="N194" i="18" s="1"/>
  <c r="R194" i="18" s="1"/>
  <c r="M103" i="18"/>
  <c r="N103" i="18" s="1"/>
  <c r="R103" i="18" s="1"/>
  <c r="M75" i="18"/>
  <c r="N75" i="18" s="1"/>
  <c r="R75" i="18" s="1"/>
  <c r="M57" i="18"/>
  <c r="N57" i="18" s="1"/>
  <c r="R57" i="18" s="1"/>
  <c r="M121" i="18"/>
  <c r="N121" i="18" s="1"/>
  <c r="R121" i="18" s="1"/>
  <c r="M118" i="18"/>
  <c r="N118" i="18" s="1"/>
  <c r="R118" i="18" s="1"/>
  <c r="M97" i="18"/>
  <c r="N97" i="18" s="1"/>
  <c r="R97" i="18" s="1"/>
  <c r="M26" i="18"/>
  <c r="N26" i="18" s="1"/>
  <c r="R26" i="18" s="1"/>
  <c r="M69" i="18"/>
  <c r="N69" i="18" s="1"/>
  <c r="R69" i="18" s="1"/>
  <c r="M139" i="18"/>
  <c r="N139" i="18" s="1"/>
  <c r="R139" i="18" s="1"/>
  <c r="M25" i="18"/>
  <c r="N25" i="18" s="1"/>
  <c r="R25" i="18" s="1"/>
  <c r="M137" i="18"/>
  <c r="N137" i="18" s="1"/>
  <c r="R137" i="18" s="1"/>
  <c r="M48" i="18"/>
  <c r="N48" i="18" s="1"/>
  <c r="R48" i="18" s="1"/>
  <c r="M166" i="18"/>
  <c r="N166" i="18" s="1"/>
  <c r="R166" i="18" s="1"/>
  <c r="M184" i="18"/>
  <c r="N184" i="18" s="1"/>
  <c r="R184" i="18" s="1"/>
  <c r="M200" i="18"/>
  <c r="N200" i="18" s="1"/>
  <c r="R200" i="18" s="1"/>
  <c r="M60" i="18"/>
  <c r="N60" i="18" s="1"/>
  <c r="R60" i="18" s="1"/>
  <c r="M211" i="18"/>
  <c r="N211" i="18" s="1"/>
  <c r="R211" i="18" s="1"/>
  <c r="M188" i="18"/>
  <c r="N188" i="18" s="1"/>
  <c r="R188" i="18" s="1"/>
  <c r="M113" i="18"/>
  <c r="N113" i="18" s="1"/>
  <c r="R113" i="18" s="1"/>
  <c r="M74" i="18"/>
  <c r="N74" i="18" s="1"/>
  <c r="R74" i="18" s="1"/>
  <c r="M68" i="18"/>
  <c r="N68" i="18" s="1"/>
  <c r="R68" i="18" s="1"/>
  <c r="M178" i="18"/>
  <c r="N178" i="18" s="1"/>
  <c r="R178" i="18" s="1"/>
  <c r="M141" i="18"/>
  <c r="N141" i="18" s="1"/>
  <c r="R141" i="18" s="1"/>
  <c r="M92" i="18"/>
  <c r="N92" i="18" s="1"/>
  <c r="R92" i="18" s="1"/>
  <c r="M54" i="18"/>
  <c r="N54" i="18" s="1"/>
  <c r="R54" i="18" s="1"/>
  <c r="M77" i="18"/>
  <c r="N77" i="18" s="1"/>
  <c r="R77" i="18" s="1"/>
  <c r="M148" i="18"/>
  <c r="N148" i="18" s="1"/>
  <c r="R148" i="18" s="1"/>
  <c r="M51" i="18"/>
  <c r="N51" i="18" s="1"/>
  <c r="R51" i="18" s="1"/>
  <c r="M150" i="18"/>
  <c r="N150" i="18" s="1"/>
  <c r="R150" i="18" s="1"/>
  <c r="M114" i="18"/>
  <c r="N114" i="18" s="1"/>
  <c r="R114" i="18" s="1"/>
  <c r="M22" i="18"/>
  <c r="N22" i="18" s="1"/>
  <c r="R22" i="18" s="1"/>
  <c r="M56" i="18"/>
  <c r="M55" i="18"/>
  <c r="N55" i="18" s="1"/>
  <c r="R55" i="18" s="1"/>
  <c r="M198" i="18"/>
  <c r="N198" i="18" s="1"/>
  <c r="R198" i="18" s="1"/>
  <c r="M129" i="18"/>
  <c r="N129" i="18" s="1"/>
  <c r="R129" i="18" s="1"/>
  <c r="M84" i="18"/>
  <c r="N84" i="18" s="1"/>
  <c r="R84" i="18" s="1"/>
  <c r="M165" i="18"/>
  <c r="N165" i="18" s="1"/>
  <c r="R165" i="18" s="1"/>
  <c r="M189" i="18"/>
  <c r="N189" i="18" s="1"/>
  <c r="R189" i="18" s="1"/>
  <c r="M187" i="18"/>
  <c r="N187" i="18" s="1"/>
  <c r="R187" i="18" s="1"/>
  <c r="M192" i="18"/>
  <c r="N192" i="18" s="1"/>
  <c r="R192" i="18" s="1"/>
  <c r="M204" i="18"/>
  <c r="N204" i="18" s="1"/>
  <c r="R204" i="18" s="1"/>
  <c r="M199" i="18"/>
  <c r="N199" i="18" s="1"/>
  <c r="R199" i="18" s="1"/>
  <c r="M132" i="18"/>
  <c r="N132" i="18" s="1"/>
  <c r="R132" i="18" s="1"/>
  <c r="M157" i="18"/>
  <c r="N157" i="18" s="1"/>
  <c r="R157" i="18" s="1"/>
  <c r="M143" i="18"/>
  <c r="N143" i="18" s="1"/>
  <c r="R143" i="18" s="1"/>
  <c r="M67" i="18"/>
  <c r="N67" i="18" s="1"/>
  <c r="R67" i="18" s="1"/>
  <c r="M83" i="18"/>
  <c r="N83" i="18" s="1"/>
  <c r="R83" i="18" s="1"/>
  <c r="M33" i="18"/>
  <c r="N33" i="18" s="1"/>
  <c r="R33" i="18" s="1"/>
  <c r="M163" i="18"/>
  <c r="N163" i="18" s="1"/>
  <c r="R163" i="18" s="1"/>
  <c r="M145" i="18"/>
  <c r="N145" i="18" s="1"/>
  <c r="R145" i="18" s="1"/>
  <c r="M125" i="18"/>
  <c r="N125" i="18" s="1"/>
  <c r="R125" i="18" s="1"/>
  <c r="M153" i="18"/>
  <c r="N153" i="18" s="1"/>
  <c r="R153" i="18" s="1"/>
  <c r="M144" i="18"/>
  <c r="N144" i="18" s="1"/>
  <c r="R144" i="18" s="1"/>
  <c r="M90" i="18"/>
  <c r="N90" i="18" s="1"/>
  <c r="R90" i="18" s="1"/>
  <c r="M131" i="18"/>
  <c r="N131" i="18" s="1"/>
  <c r="R131" i="18" s="1"/>
  <c r="M117" i="18"/>
  <c r="N117" i="18" s="1"/>
  <c r="R117" i="18" s="1"/>
  <c r="M95" i="18"/>
  <c r="N95" i="18" s="1"/>
  <c r="R95" i="18" s="1"/>
  <c r="M162" i="18"/>
  <c r="N162" i="18" s="1"/>
  <c r="R162" i="18" s="1"/>
  <c r="M110" i="18"/>
  <c r="N110" i="18" s="1"/>
  <c r="R110" i="18" s="1"/>
  <c r="M73" i="18"/>
  <c r="N73" i="18" s="1"/>
  <c r="R73" i="18" s="1"/>
  <c r="M102" i="18"/>
  <c r="N102" i="18" s="1"/>
  <c r="R102" i="18" s="1"/>
  <c r="M64" i="18"/>
  <c r="N64" i="18" s="1"/>
  <c r="R64" i="18" s="1"/>
  <c r="M151" i="18"/>
  <c r="N151" i="18" s="1"/>
  <c r="R151" i="18" s="1"/>
  <c r="M133" i="18"/>
  <c r="N133" i="18" s="1"/>
  <c r="R133" i="18" s="1"/>
  <c r="M196" i="18"/>
  <c r="N196" i="18" s="1"/>
  <c r="R196" i="18" s="1"/>
  <c r="M66" i="18"/>
  <c r="N66" i="18" s="1"/>
  <c r="R66" i="18" s="1"/>
  <c r="M58" i="18"/>
  <c r="N58" i="18" s="1"/>
  <c r="R58" i="18" s="1"/>
  <c r="M32" i="18"/>
  <c r="N32" i="18" s="1"/>
  <c r="R32" i="18" s="1"/>
  <c r="M59" i="18"/>
  <c r="N59" i="18" s="1"/>
  <c r="R59" i="18" s="1"/>
  <c r="M41" i="18"/>
  <c r="N41" i="18" s="1"/>
  <c r="R41" i="18" s="1"/>
  <c r="M104" i="18"/>
  <c r="N104" i="18" s="1"/>
  <c r="R104" i="18" s="1"/>
  <c r="M62" i="18"/>
  <c r="N62" i="18" s="1"/>
  <c r="R62" i="18" s="1"/>
  <c r="M193" i="18"/>
  <c r="N193" i="18" s="1"/>
  <c r="R193" i="18" s="1"/>
  <c r="M208" i="18"/>
  <c r="N208" i="18" s="1"/>
  <c r="R208" i="18" s="1"/>
  <c r="M186" i="18"/>
  <c r="N186" i="18" s="1"/>
  <c r="R186" i="18" s="1"/>
  <c r="M171" i="18"/>
  <c r="N171" i="18" s="1"/>
  <c r="R171" i="18" s="1"/>
  <c r="M40" i="18"/>
  <c r="N40" i="18" s="1"/>
  <c r="R40" i="18" s="1"/>
  <c r="M111" i="18"/>
  <c r="N111" i="18" s="1"/>
  <c r="R111" i="18" s="1"/>
  <c r="M61" i="18"/>
  <c r="N61" i="18" s="1"/>
  <c r="R61" i="18" s="1"/>
  <c r="M177" i="18"/>
  <c r="N177" i="18" s="1"/>
  <c r="R177" i="18" s="1"/>
  <c r="M179" i="18"/>
  <c r="N179" i="18" s="1"/>
  <c r="R179" i="18" s="1"/>
  <c r="M31" i="18"/>
  <c r="N31" i="18" s="1"/>
  <c r="R31" i="18" s="1"/>
  <c r="M87" i="18"/>
  <c r="N87" i="18" s="1"/>
  <c r="R87" i="18" s="1"/>
  <c r="M152" i="18"/>
  <c r="N152" i="18" s="1"/>
  <c r="R152" i="18" s="1"/>
  <c r="M205" i="18"/>
  <c r="N205" i="18" s="1"/>
  <c r="R205" i="18" s="1"/>
  <c r="M85" i="18"/>
  <c r="N85" i="18" s="1"/>
  <c r="R85" i="18" s="1"/>
  <c r="M169" i="18"/>
  <c r="N169" i="18" s="1"/>
  <c r="R169" i="18" s="1"/>
  <c r="M127" i="18"/>
  <c r="N127" i="18" s="1"/>
  <c r="R127" i="18" s="1"/>
  <c r="M126" i="18"/>
  <c r="N126" i="18" s="1"/>
  <c r="R126" i="18" s="1"/>
  <c r="M142" i="18"/>
  <c r="N142" i="18" s="1"/>
  <c r="R142" i="18" s="1"/>
  <c r="M122" i="18"/>
  <c r="N122" i="18" s="1"/>
  <c r="R122" i="18" s="1"/>
  <c r="M50" i="18"/>
  <c r="N50" i="18" s="1"/>
  <c r="R50" i="18" s="1"/>
  <c r="M124" i="18"/>
  <c r="N124" i="18" s="1"/>
  <c r="R124" i="18" s="1"/>
  <c r="M155" i="18"/>
  <c r="N155" i="18" s="1"/>
  <c r="R155" i="18" s="1"/>
  <c r="M147" i="18"/>
  <c r="N147" i="18" s="1"/>
  <c r="R147" i="18" s="1"/>
  <c r="M161" i="18"/>
  <c r="N161" i="18" s="1"/>
  <c r="R161" i="18" s="1"/>
  <c r="M47" i="18"/>
  <c r="N47" i="18" s="1"/>
  <c r="R47" i="18" s="1"/>
  <c r="M99" i="18"/>
  <c r="N99" i="18" s="1"/>
  <c r="R99" i="18" s="1"/>
  <c r="M106" i="18"/>
  <c r="N106" i="18" s="1"/>
  <c r="R106" i="18" s="1"/>
  <c r="M21" i="18"/>
  <c r="N21" i="18" s="1"/>
  <c r="R21" i="18" s="1"/>
  <c r="M93" i="18"/>
  <c r="N93" i="18" s="1"/>
  <c r="R93" i="18" s="1"/>
  <c r="M23" i="18"/>
  <c r="N23" i="18" s="1"/>
  <c r="R23" i="18" s="1"/>
  <c r="M167" i="18"/>
  <c r="N167" i="18" s="1"/>
  <c r="R167" i="18" s="1"/>
  <c r="M130" i="18"/>
  <c r="N130" i="18" s="1"/>
  <c r="R130" i="18" s="1"/>
  <c r="M36" i="18"/>
  <c r="N36" i="18" s="1"/>
  <c r="R36" i="18" s="1"/>
  <c r="M42" i="18"/>
  <c r="N42" i="18" s="1"/>
  <c r="R42" i="18" s="1"/>
  <c r="M119" i="18"/>
  <c r="N119" i="18" s="1"/>
  <c r="R119" i="18" s="1"/>
  <c r="M203" i="18"/>
  <c r="N203" i="18" s="1"/>
  <c r="R203" i="18" s="1"/>
  <c r="M182" i="18"/>
  <c r="N182" i="18" s="1"/>
  <c r="R182" i="18" s="1"/>
  <c r="M53" i="18"/>
  <c r="N53" i="18" s="1"/>
  <c r="R53" i="18" s="1"/>
  <c r="M30" i="18"/>
  <c r="N30" i="18" s="1"/>
  <c r="R30" i="18" s="1"/>
  <c r="M209" i="18"/>
  <c r="N209" i="18" s="1"/>
  <c r="R209" i="18" s="1"/>
  <c r="M154" i="18"/>
  <c r="N154" i="18" s="1"/>
  <c r="R154" i="18" s="1"/>
  <c r="M190" i="18"/>
  <c r="N190" i="18" s="1"/>
  <c r="R190" i="18" s="1"/>
  <c r="M43" i="18"/>
  <c r="N43" i="18" s="1"/>
  <c r="R43" i="18" s="1"/>
  <c r="M101" i="18"/>
  <c r="N101" i="18" s="1"/>
  <c r="R101" i="18" s="1"/>
  <c r="M123" i="18"/>
  <c r="N123" i="18" s="1"/>
  <c r="R123" i="18" s="1"/>
  <c r="M94" i="18"/>
  <c r="N94" i="18" s="1"/>
  <c r="R94" i="18" s="1"/>
  <c r="M159" i="18"/>
  <c r="N159" i="18" s="1"/>
  <c r="R159" i="18" s="1"/>
  <c r="M108" i="18"/>
  <c r="N108" i="18" s="1"/>
  <c r="R108" i="18" s="1"/>
  <c r="M210" i="18"/>
  <c r="N210" i="18" s="1"/>
  <c r="R210" i="18" s="1"/>
  <c r="M172" i="18"/>
  <c r="N172" i="18" s="1"/>
  <c r="R172" i="18" s="1"/>
  <c r="M201" i="18"/>
  <c r="N201" i="18" s="1"/>
  <c r="R201" i="18" s="1"/>
  <c r="M37" i="18"/>
  <c r="N37" i="18" s="1"/>
  <c r="R37" i="18" s="1"/>
  <c r="M109" i="18"/>
  <c r="N109" i="18" s="1"/>
  <c r="R109" i="18" s="1"/>
  <c r="M71" i="18"/>
  <c r="N71" i="18" s="1"/>
  <c r="R71" i="18" s="1"/>
  <c r="M195" i="18"/>
  <c r="N195" i="18" s="1"/>
  <c r="R195" i="18" s="1"/>
  <c r="M88" i="18"/>
  <c r="N88" i="18" s="1"/>
  <c r="R88" i="18" s="1"/>
  <c r="M170" i="18"/>
  <c r="N170" i="18" s="1"/>
  <c r="R170" i="18" s="1"/>
  <c r="M112" i="18"/>
  <c r="N112" i="18" s="1"/>
  <c r="R112" i="18" s="1"/>
  <c r="M44" i="18"/>
  <c r="N44" i="18" s="1"/>
  <c r="R44" i="18" s="1"/>
  <c r="M135" i="18"/>
  <c r="N135" i="18" s="1"/>
  <c r="R135" i="18" s="1"/>
  <c r="M45" i="18"/>
  <c r="N45" i="18" s="1"/>
  <c r="R45" i="18" s="1"/>
  <c r="M46" i="18"/>
  <c r="N46" i="18" s="1"/>
  <c r="R46" i="18" s="1"/>
  <c r="M191" i="18"/>
  <c r="N191" i="18" s="1"/>
  <c r="R191" i="18" s="1"/>
  <c r="M174" i="18"/>
  <c r="N174" i="18" s="1"/>
  <c r="R174" i="18" s="1"/>
  <c r="M78" i="18"/>
  <c r="N78" i="18" s="1"/>
  <c r="R78" i="18" s="1"/>
  <c r="M181" i="18"/>
  <c r="N181" i="18" s="1"/>
  <c r="R181" i="18" s="1"/>
  <c r="M63" i="18"/>
  <c r="N63" i="18" s="1"/>
  <c r="R63" i="18" s="1"/>
  <c r="M183" i="18"/>
  <c r="N183" i="18" s="1"/>
  <c r="R183" i="18" s="1"/>
  <c r="M79" i="18"/>
  <c r="N79" i="18" s="1"/>
  <c r="R79" i="18" s="1"/>
  <c r="M138" i="18"/>
  <c r="N138" i="18" s="1"/>
  <c r="R138" i="18" s="1"/>
  <c r="M116" i="18"/>
  <c r="N116" i="18" s="1"/>
  <c r="R116" i="18" s="1"/>
  <c r="M39" i="18"/>
  <c r="N39" i="18" s="1"/>
  <c r="R39" i="18" s="1"/>
  <c r="M185" i="18"/>
  <c r="N185" i="18" s="1"/>
  <c r="R185" i="18" s="1"/>
  <c r="M86" i="18"/>
  <c r="N86" i="18" s="1"/>
  <c r="R86" i="18" s="1"/>
  <c r="M202" i="18"/>
  <c r="N202" i="18" s="1"/>
  <c r="R202" i="18" s="1"/>
  <c r="M13" i="18" l="1"/>
  <c r="N56" i="18"/>
  <c r="M212" i="18"/>
  <c r="N20" i="18"/>
  <c r="N14" i="18" l="1"/>
  <c r="R20" i="18"/>
  <c r="R56" i="18"/>
  <c r="R13" i="18" s="1"/>
  <c r="N13" i="18"/>
  <c r="R212" i="18" l="1"/>
  <c r="R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<sst xmlns="http://schemas.openxmlformats.org/spreadsheetml/2006/main" count="442" uniqueCount="106">
  <si>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</si>
  <si>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</si>
  <si>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</si>
  <si>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</si>
  <si>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</si>
  <si>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</si>
  <si>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</si>
  <si>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</si>
  <si>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</si>
  <si>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</si>
  <si>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</si>
  <si>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</si>
  <si>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</si>
  <si>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</si>
  <si>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</si>
  <si>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</si>
  <si>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</si>
  <si>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</si>
  <si>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</si>
  <si>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</si>
  <si>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</si>
  <si>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</si>
  <si>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</si>
  <si>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</si>
  <si>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</si>
  <si>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</si>
  <si>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</si>
  <si>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</si>
  <si>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</si>
  <si>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</si>
  <si>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</si>
  <si>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</si>
  <si>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</si>
  <si>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</si>
  <si>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</si>
  <si>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</si>
  <si>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Network Customer True-Up (Schedule 9 charges)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</si>
  <si>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</si>
  <si>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</si>
  <si>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</si>
  <si>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</si>
  <si>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True-Up
(</t>
    </r>
    <r>
      <rPr>
        <sz val="10"/>
        <rFont val="Arial"/>
        <family val="2"/>
      </rPr>
      <t>w/o Interest)</t>
    </r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</si>
  <si>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</si>
  <si>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</si>
  <si>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</si>
  <si>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</si>
  <si>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Total
True-Up Surcharge / (Refund)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</si>
  <si>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</si>
  <si>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</si>
  <si>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</si>
  <si>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</si>
  <si>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</si>
  <si>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</si>
  <si>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</si>
  <si>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</si>
  <si>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</si>
  <si>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</si>
  <si>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</si>
  <si>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</si>
  <si>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</si>
  <si>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</si>
  <si>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</si>
  <si>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</si>
  <si>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</si>
  <si>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</si>
  <si>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</si>
  <si>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</si>
  <si>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</si>
  <si>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</si>
  <si>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</si>
  <si>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</si>
  <si>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</si>
  <si>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</si>
  <si>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</si>
  <si>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</si>
  <si>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</si>
  <si>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</si>
  <si>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</si>
  <si>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</si>
  <si>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</si>
  <si>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</si>
  <si>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</si>
  <si>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</si>
  <si>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</si>
  <si>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 xml:space="preserve">    &lt;&lt; OKLAHOMA TRANSMISSION COMPANY &gt;&gt;</t>
  </si>
  <si>
    <t>AEP Oklahoma Transco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</si>
  <si>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</si>
  <si>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</si>
  <si>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</si>
  <si>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</si>
  <si>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</si>
  <si>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</si>
  <si>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</si>
  <si>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</si>
  <si>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</si>
  <si>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</si>
  <si>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</si>
  <si>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</si>
  <si>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AEPTCo Formula Rate -- FERC Docket ER18-194</t>
  </si>
  <si>
    <t>Total</t>
  </si>
  <si>
    <t>OKT</t>
  </si>
  <si>
    <t>SWT</t>
  </si>
  <si>
    <t>2021 Load Share</t>
  </si>
  <si>
    <t xml:space="preserve"> True Up Including Interest</t>
  </si>
  <si>
    <t>2025 NOLC FERC Order Refund Amount with Interest (NITS)</t>
  </si>
  <si>
    <t>2025 NOLC FERC Order Refund with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</si>
</sst>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  <numFmt numFmtId="169" formatCode="0E+00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quotePrefix="1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7" xfId="2" applyNumberFormat="1" applyFont="1" applyBorder="1" applyProtection="1"/>
    <xf numFmtId="165" fontId="0" fillId="0" borderId="18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20" xfId="0" applyBorder="1"/>
    <xf numFmtId="0" fontId="9" fillId="3" borderId="21" xfId="0" quotePrefix="1" applyFont="1" applyFill="1" applyBorder="1" applyAlignment="1">
      <alignment horizontal="left" vertical="center" wrapText="1"/>
    </xf>
    <xf numFmtId="165" fontId="0" fillId="3" borderId="22" xfId="2" applyNumberFormat="1" applyFont="1" applyFill="1" applyBorder="1" applyAlignment="1" applyProtection="1">
      <alignment vertical="center"/>
    </xf>
    <xf numFmtId="165" fontId="0" fillId="3" borderId="23" xfId="2" applyNumberFormat="1" applyFont="1" applyFill="1" applyBorder="1" applyAlignment="1" applyProtection="1">
      <alignment vertical="center"/>
    </xf>
    <xf numFmtId="165" fontId="3" fillId="3" borderId="24" xfId="2" applyNumberFormat="1" applyFont="1" applyFill="1" applyBorder="1" applyAlignment="1" applyProtection="1">
      <alignment vertical="center"/>
    </xf>
    <xf numFmtId="0" fontId="0" fillId="0" borderId="26" xfId="0" quotePrefix="1" applyBorder="1" applyAlignment="1">
      <alignment horizontal="left"/>
    </xf>
    <xf numFmtId="0" fontId="0" fillId="0" borderId="19" xfId="0" applyBorder="1"/>
    <xf numFmtId="0" fontId="0" fillId="0" borderId="27" xfId="0" applyBorder="1"/>
    <xf numFmtId="0" fontId="9" fillId="0" borderId="21" xfId="0" quotePrefix="1" applyFont="1" applyBorder="1" applyAlignment="1">
      <alignment horizontal="left" vertical="center" wrapText="1"/>
    </xf>
    <xf numFmtId="165" fontId="0" fillId="0" borderId="22" xfId="2" applyNumberFormat="1" applyFont="1" applyFill="1" applyBorder="1" applyAlignment="1" applyProtection="1">
      <alignment vertical="center"/>
    </xf>
    <xf numFmtId="165" fontId="0" fillId="0" borderId="23" xfId="2" applyNumberFormat="1" applyFont="1" applyFill="1" applyBorder="1" applyAlignment="1" applyProtection="1">
      <alignment vertical="center"/>
    </xf>
    <xf numFmtId="165" fontId="3" fillId="0" borderId="24" xfId="2" applyNumberFormat="1" applyFont="1" applyFill="1" applyBorder="1" applyAlignment="1" applyProtection="1">
      <alignment vertical="center"/>
    </xf>
    <xf numFmtId="0" fontId="9" fillId="0" borderId="5" xfId="0" quotePrefix="1" applyFont="1" applyBorder="1" applyAlignment="1">
      <alignment horizontal="center" vertical="center" wrapText="1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165" fontId="0" fillId="0" borderId="30" xfId="2" applyNumberFormat="1" applyFont="1" applyBorder="1" applyAlignment="1" applyProtection="1">
      <alignment vertical="center"/>
    </xf>
    <xf numFmtId="166" fontId="0" fillId="0" borderId="0" xfId="1" applyNumberFormat="1" applyFont="1" applyProtection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16" xfId="0" applyBorder="1"/>
    <xf numFmtId="0" fontId="21" fillId="6" borderId="0" xfId="0" applyFont="1" applyFill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1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1" xfId="0" quotePrefix="1" applyBorder="1" applyAlignment="1">
      <alignment horizontal="right"/>
    </xf>
    <xf numFmtId="0" fontId="0" fillId="0" borderId="23" xfId="0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3" fillId="0" borderId="25" xfId="0" applyNumberFormat="1" applyFont="1" applyBorder="1" applyAlignment="1">
      <alignment horizontal="right"/>
    </xf>
    <xf numFmtId="167" fontId="0" fillId="0" borderId="23" xfId="0" applyNumberFormat="1" applyBorder="1" applyAlignment="1">
      <alignment horizontal="center"/>
    </xf>
    <xf numFmtId="167" fontId="0" fillId="4" borderId="25" xfId="0" applyNumberFormat="1" applyFill="1" applyBorder="1" applyAlignment="1">
      <alignment horizontal="center"/>
    </xf>
    <xf numFmtId="167" fontId="0" fillId="0" borderId="3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7" xfId="0" applyNumberFormat="1" applyFont="1" applyBorder="1" applyAlignment="1">
      <alignment horizontal="right"/>
    </xf>
    <xf numFmtId="14" fontId="1" fillId="0" borderId="17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1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1" xfId="0" applyNumberFormat="1" applyFont="1" applyBorder="1" applyAlignment="1">
      <alignment horizontal="center"/>
    </xf>
    <xf numFmtId="14" fontId="0" fillId="0" borderId="17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1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3" xfId="0" quotePrefix="1" applyFont="1" applyBorder="1" applyAlignment="1">
      <alignment horizontal="center"/>
    </xf>
    <xf numFmtId="164" fontId="4" fillId="0" borderId="22" xfId="0" quotePrefix="1" applyNumberFormat="1" applyFont="1" applyBorder="1" applyAlignment="1">
      <alignment horizontal="center" vertical="center" wrapText="1"/>
    </xf>
    <xf numFmtId="0" fontId="4" fillId="0" borderId="23" xfId="0" quotePrefix="1" applyFont="1" applyBorder="1" applyAlignment="1">
      <alignment horizontal="center" vertical="center" wrapText="1"/>
    </xf>
    <xf numFmtId="164" fontId="4" fillId="5" borderId="23" xfId="0" quotePrefix="1" applyNumberFormat="1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9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4" xfId="0" applyNumberFormat="1" applyBorder="1" applyAlignment="1">
      <alignment horizontal="center"/>
    </xf>
    <xf numFmtId="14" fontId="1" fillId="0" borderId="34" xfId="0" applyNumberFormat="1" applyFont="1" applyBorder="1"/>
    <xf numFmtId="14" fontId="7" fillId="2" borderId="34" xfId="0" applyNumberFormat="1" applyFont="1" applyFill="1" applyBorder="1" applyAlignment="1">
      <alignment horizontal="left"/>
    </xf>
    <xf numFmtId="0" fontId="0" fillId="0" borderId="34" xfId="0" applyBorder="1" applyAlignment="1">
      <alignment horizontal="center"/>
    </xf>
    <xf numFmtId="14" fontId="1" fillId="0" borderId="0" xfId="0" applyNumberFormat="1" applyFont="1"/>
    <xf numFmtId="0" fontId="0" fillId="0" borderId="34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44" fontId="0" fillId="0" borderId="0" xfId="0" applyNumberFormat="1"/>
    <xf numFmtId="9" fontId="0" fillId="0" borderId="0" xfId="4" applyFont="1" applyProtection="1"/>
    <xf numFmtId="169" fontId="0" fillId="0" borderId="0" xfId="0" applyNumberFormat="1"/>
    <xf numFmtId="167" fontId="7" fillId="6" borderId="0" xfId="0" applyNumberFormat="1" applyFont="1" applyFill="1" applyAlignment="1">
      <alignment horizontal="right"/>
    </xf>
    <xf numFmtId="164" fontId="7" fillId="6" borderId="0" xfId="0" applyNumberFormat="1" applyFont="1" applyFill="1" applyAlignment="1">
      <alignment horizontal="right"/>
    </xf>
    <xf numFmtId="167" fontId="7" fillId="6" borderId="25" xfId="0" applyNumberFormat="1" applyFont="1" applyFill="1" applyBorder="1" applyAlignment="1">
      <alignment horizontal="center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0" fontId="24" fillId="0" borderId="0" xfId="4" quotePrefix="1" applyNumberFormat="1" applyFont="1" applyFill="1" applyBorder="1" applyAlignment="1" applyProtection="1">
      <alignment horizontal="left"/>
    </xf>
    <xf numFmtId="164" fontId="4" fillId="0" borderId="23" xfId="0" quotePrefix="1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3" xfId="0" quotePrefix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14" xfId="0" quotePrefix="1" applyNumberFormat="1" applyFont="1" applyBorder="1" applyAlignment="1">
      <alignment horizontal="center" wrapText="1"/>
    </xf>
    <xf numFmtId="0" fontId="1" fillId="0" borderId="0" xfId="5"/>
    <xf numFmtId="37" fontId="0" fillId="0" borderId="0" xfId="6" applyNumberFormat="1" applyFont="1"/>
    <xf numFmtId="37" fontId="1" fillId="0" borderId="0" xfId="5" applyNumberFormat="1"/>
    <xf numFmtId="0" fontId="1" fillId="0" borderId="35" xfId="5" applyBorder="1"/>
    <xf numFmtId="168" fontId="0" fillId="0" borderId="0" xfId="7" applyNumberFormat="1" applyFont="1" applyBorder="1" applyAlignment="1" applyProtection="1">
      <alignment horizontal="left"/>
    </xf>
    <xf numFmtId="0" fontId="1" fillId="0" borderId="36" xfId="5" quotePrefix="1" applyBorder="1" applyAlignment="1">
      <alignment horizontal="left"/>
    </xf>
    <xf numFmtId="168" fontId="0" fillId="0" borderId="0" xfId="7" quotePrefix="1" applyNumberFormat="1" applyFont="1" applyBorder="1" applyAlignment="1" applyProtection="1">
      <alignment horizontal="left"/>
    </xf>
    <xf numFmtId="0" fontId="1" fillId="0" borderId="36" xfId="5" applyBorder="1"/>
    <xf numFmtId="0" fontId="1" fillId="0" borderId="37" xfId="5" applyBorder="1"/>
    <xf numFmtId="0" fontId="9" fillId="3" borderId="38" xfId="5" quotePrefix="1" applyFont="1" applyFill="1" applyBorder="1" applyAlignment="1">
      <alignment horizontal="left" vertical="center" wrapText="1"/>
    </xf>
    <xf numFmtId="168" fontId="9" fillId="3" borderId="0" xfId="7" quotePrefix="1" applyNumberFormat="1" applyFont="1" applyFill="1" applyBorder="1" applyAlignment="1" applyProtection="1">
      <alignment horizontal="left" vertical="center" wrapText="1"/>
    </xf>
    <xf numFmtId="37" fontId="9" fillId="3" borderId="0" xfId="7" quotePrefix="1" applyNumberFormat="1" applyFont="1" applyFill="1" applyBorder="1" applyAlignment="1" applyProtection="1">
      <alignment vertical="center" wrapText="1"/>
    </xf>
    <xf numFmtId="0" fontId="1" fillId="0" borderId="39" xfId="5" quotePrefix="1" applyBorder="1" applyAlignment="1">
      <alignment horizontal="left"/>
    </xf>
    <xf numFmtId="0" fontId="9" fillId="3" borderId="23" xfId="5" quotePrefix="1" applyFont="1" applyFill="1" applyBorder="1" applyAlignment="1">
      <alignment horizontal="left" vertical="center" wrapText="1"/>
    </xf>
    <xf numFmtId="37" fontId="9" fillId="3" borderId="23" xfId="5" quotePrefix="1" applyNumberFormat="1" applyFont="1" applyFill="1" applyBorder="1" applyAlignment="1">
      <alignment vertical="center" wrapText="1"/>
    </xf>
    <xf numFmtId="0" fontId="9" fillId="0" borderId="40" xfId="5" quotePrefix="1" applyFont="1" applyBorder="1" applyAlignment="1">
      <alignment horizontal="center" vertical="center" wrapText="1"/>
    </xf>
    <xf numFmtId="0" fontId="9" fillId="0" borderId="0" xfId="5" quotePrefix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8" fillId="6" borderId="8" xfId="0" applyNumberFormat="1" applyFont="1" applyFill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0" fontId="0" fillId="0" borderId="41" xfId="0" applyBorder="1"/>
    <xf numFmtId="0" fontId="0" fillId="0" borderId="42" xfId="0" applyBorder="1"/>
    <xf numFmtId="0" fontId="0" fillId="0" borderId="41" xfId="0" pivotButton="1" applyBorder="1"/>
    <xf numFmtId="0" fontId="0" fillId="0" borderId="43" xfId="0" applyBorder="1"/>
    <xf numFmtId="17" fontId="0" fillId="0" borderId="41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166" fontId="0" fillId="0" borderId="41" xfId="0" applyNumberFormat="1" applyBorder="1"/>
    <xf numFmtId="166" fontId="0" fillId="0" borderId="44" xfId="0" applyNumberFormat="1" applyBorder="1"/>
    <xf numFmtId="166" fontId="0" fillId="0" borderId="45" xfId="0" applyNumberFormat="1" applyBorder="1"/>
    <xf numFmtId="0" fontId="0" fillId="0" borderId="46" xfId="0" applyBorder="1"/>
    <xf numFmtId="0" fontId="0" fillId="0" borderId="47" xfId="0" applyBorder="1"/>
    <xf numFmtId="166" fontId="14" fillId="0" borderId="47" xfId="0" applyNumberFormat="1" applyFont="1" applyBorder="1"/>
    <xf numFmtId="166" fontId="14" fillId="0" borderId="0" xfId="0" applyNumberFormat="1" applyFont="1"/>
    <xf numFmtId="166" fontId="14" fillId="0" borderId="48" xfId="0" applyNumberFormat="1" applyFont="1" applyBorder="1"/>
    <xf numFmtId="166" fontId="0" fillId="0" borderId="47" xfId="0" applyNumberFormat="1" applyBorder="1"/>
    <xf numFmtId="166" fontId="0" fillId="0" borderId="48" xfId="0" applyNumberFormat="1" applyBorder="1"/>
    <xf numFmtId="166" fontId="14" fillId="0" borderId="41" xfId="0" applyNumberFormat="1" applyFont="1" applyBorder="1"/>
    <xf numFmtId="166" fontId="14" fillId="0" borderId="44" xfId="0" applyNumberFormat="1" applyFont="1" applyBorder="1"/>
    <xf numFmtId="166" fontId="14" fillId="0" borderId="45" xfId="0" applyNumberFormat="1" applyFont="1" applyBorder="1"/>
    <xf numFmtId="0" fontId="0" fillId="0" borderId="49" xfId="0" applyBorder="1"/>
    <xf numFmtId="0" fontId="0" fillId="0" borderId="50" xfId="0" applyBorder="1"/>
    <xf numFmtId="166" fontId="0" fillId="0" borderId="49" xfId="0" applyNumberFormat="1" applyBorder="1"/>
    <xf numFmtId="166" fontId="0" fillId="0" borderId="51" xfId="0" applyNumberFormat="1" applyBorder="1"/>
    <xf numFmtId="166" fontId="0" fillId="0" borderId="52" xfId="0" applyNumberFormat="1" applyBorder="1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8">
    <cellStyle name="Comma" xfId="1" builtinId="3"/>
    <cellStyle name="Comma 2" xfId="6" xr:uid="{10E26044-48CC-47B9-A04E-4B6C290B79BA}"/>
    <cellStyle name="Currency" xfId="2" builtinId="4"/>
    <cellStyle name="Normal" xfId="0" builtinId="0"/>
    <cellStyle name="Normal 2" xfId="3" xr:uid="{00000000-0005-0000-0000-000003000000}"/>
    <cellStyle name="Normal 3" xfId="5" xr:uid="{A0772DD8-57D0-449E-86D3-0F468C05B104}"/>
    <cellStyle name="Percent" xfId="4" builtinId="5"/>
    <cellStyle name="Percent 2" xfId="7" xr:uid="{C7953636-823C-42AB-B200-87D0CEA2420E}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40245671296" createdVersion="6" refreshedVersion="8" recordCount="192" xr:uid="{00000000-000A-0000-FFFF-FFFFAE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1862.5628195437541" maxValue="1862.5628195437541"/>
    </cacheField>
    <cacheField name="Actual True-Up Rate" numFmtId="164">
      <sharedItems containsSemiMixedTypes="0" containsString="0" containsNumber="1" minValue="1662.2202268543867" maxValue="1662.2202268543867"/>
    </cacheField>
    <cacheField name="True-Up Charge" numFmtId="164">
      <sharedItems containsSemiMixedTypes="0" containsString="0" containsNumber="1" minValue="0" maxValue="6831725.1323715299"/>
    </cacheField>
    <cacheField name="Invoiced*** Charge (proj.)" numFmtId="164">
      <sharedItems containsSemiMixedTypes="0" containsString="0" containsNumber="1" minValue="0" maxValue="7655133.1883248296"/>
    </cacheField>
    <cacheField name="True-Up w/o Interest" numFmtId="164">
      <sharedItems containsSemiMixedTypes="0" containsString="0" containsNumber="1" minValue="-823408.05595329963" maxValue="0"/>
    </cacheField>
    <cacheField name="Interest" numFmtId="164">
      <sharedItems containsSemiMixedTypes="0" containsString="0" containsNumber="1" minValue="-58957.223574213102" maxValue="0"/>
    </cacheField>
    <cacheField name=" True Up Including Interest" numFmtId="164">
      <sharedItems containsSemiMixedTypes="0" containsString="0" containsNumber="1" minValue="-882365.27952751273" maxValue="0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-882365.27952751273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1862.5628195437541"/>
    <n v="1662.2202268543867"/>
    <n v="4888589.6871787515"/>
    <n v="5477797.2522781808"/>
    <n v="-589207.56509942934"/>
    <n v="-42188.12519020943"/>
    <n v="-631395.69028963882"/>
    <n v="0"/>
    <n v="0"/>
    <n v="0"/>
    <n v="-631395.69028963882"/>
  </r>
  <r>
    <x v="1"/>
    <d v="2025-03-05T00:00:00"/>
    <d v="2025-03-24T00:00:00"/>
    <x v="0"/>
    <n v="9"/>
    <n v="3221"/>
    <n v="1862.5628195437541"/>
    <n v="1662.2202268543867"/>
    <n v="5354011.3506979793"/>
    <n v="5999314.8417504318"/>
    <n v="-645303.49105245247"/>
    <n v="-46204.675701348031"/>
    <n v="-691508.16675380047"/>
    <n v="0"/>
    <n v="0"/>
    <n v="0"/>
    <n v="-691508.16675380047"/>
  </r>
  <r>
    <x v="2"/>
    <d v="2025-04-03T00:00:00"/>
    <d v="2025-04-24T00:00:00"/>
    <x v="0"/>
    <n v="9"/>
    <n v="2419"/>
    <n v="1862.5628195437541"/>
    <n v="1662.2202268543867"/>
    <n v="4020910.7287607617"/>
    <n v="4505539.4604763417"/>
    <n v="-484628.73171557998"/>
    <n v="-34700.127451586741"/>
    <n v="-519328.85916716675"/>
    <n v="0"/>
    <n v="0"/>
    <n v="0"/>
    <n v="-519328.85916716675"/>
  </r>
  <r>
    <x v="3"/>
    <d v="2025-05-05T00:00:00"/>
    <d v="2025-05-26T00:00:00"/>
    <x v="0"/>
    <n v="9"/>
    <n v="2717"/>
    <n v="1862.5628195437541"/>
    <n v="1662.2202268543867"/>
    <n v="4516252.3563633692"/>
    <n v="5060583.1807003804"/>
    <n v="-544330.8243370112"/>
    <n v="-38974.88478129854"/>
    <n v="-583305.70911830978"/>
    <n v="0"/>
    <n v="0"/>
    <n v="0"/>
    <n v="-583305.70911830978"/>
  </r>
  <r>
    <x v="4"/>
    <d v="2025-06-04T00:00:00"/>
    <d v="2025-06-24T00:00:00"/>
    <x v="0"/>
    <n v="9"/>
    <n v="3378"/>
    <n v="1862.5628195437541"/>
    <n v="1662.2202268543867"/>
    <n v="5614979.9263141183"/>
    <n v="6291737.2044188017"/>
    <n v="-676757.27810468338"/>
    <n v="-48456.812952236462"/>
    <n v="-725214.09105691989"/>
    <n v="0"/>
    <n v="0"/>
    <n v="0"/>
    <n v="-725214.09105691989"/>
  </r>
  <r>
    <x v="5"/>
    <d v="2025-07-03T00:00:00"/>
    <d v="2025-07-24T00:00:00"/>
    <x v="0"/>
    <n v="9"/>
    <n v="3824"/>
    <n v="1862.5628195437541"/>
    <n v="1662.2202268543867"/>
    <n v="6356330.1474911748"/>
    <n v="7122440.221935316"/>
    <n v="-766110.07444414124"/>
    <n v="-54854.604123550103"/>
    <n v="-820964.67856769136"/>
    <n v="0"/>
    <n v="0"/>
    <n v="0"/>
    <n v="-820964.67856769136"/>
  </r>
  <r>
    <x v="6"/>
    <d v="2025-08-05T00:00:00"/>
    <d v="2025-08-25T00:00:00"/>
    <x v="0"/>
    <n v="9"/>
    <n v="4110"/>
    <n v="1862.5628195437541"/>
    <n v="1662.2202268543867"/>
    <n v="6831725.1323715299"/>
    <n v="7655133.1883248296"/>
    <n v="-823408.05595329963"/>
    <n v="-58957.223574213102"/>
    <n v="-882365.27952751273"/>
    <n v="0"/>
    <n v="0"/>
    <n v="0"/>
    <n v="-882365.27952751273"/>
  </r>
  <r>
    <x v="7"/>
    <d v="2025-09-04T00:00:00"/>
    <d v="2025-09-24T00:00:00"/>
    <x v="0"/>
    <n v="9"/>
    <n v="4096"/>
    <n v="1862.5628195437541"/>
    <n v="1662.2202268543867"/>
    <n v="6808454.0491955681"/>
    <n v="7629057.3088512169"/>
    <n v="-820603.25965564884"/>
    <n v="-58756.39604865617"/>
    <n v="-879359.65570430504"/>
    <n v="0"/>
    <n v="0"/>
    <n v="0"/>
    <n v="-879359.65570430504"/>
  </r>
  <r>
    <x v="8"/>
    <d v="2025-10-03T00:00:00"/>
    <d v="2025-10-24T00:00:00"/>
    <x v="0"/>
    <n v="9"/>
    <n v="3657"/>
    <n v="1862.5628195437541"/>
    <n v="1662.2202268543867"/>
    <n v="6078739.3696064921"/>
    <n v="6811392.2310715085"/>
    <n v="-732652.86146501638"/>
    <n v="-52459.018640121001"/>
    <n v="-785111.88010513736"/>
    <n v="0"/>
    <n v="0"/>
    <n v="0"/>
    <n v="-785111.88010513736"/>
  </r>
  <r>
    <x v="9"/>
    <d v="2025-11-05T00:00:00"/>
    <d v="2025-11-24T00:00:00"/>
    <x v="0"/>
    <n v="9"/>
    <n v="3261"/>
    <n v="1862.5628195437541"/>
    <n v="1662.2202268543867"/>
    <n v="5420500.1597721549"/>
    <n v="6073817.3545321822"/>
    <n v="-653317.19476002734"/>
    <n v="-46778.468631510688"/>
    <n v="-700095.66339153808"/>
    <n v="0"/>
    <n v="0"/>
    <n v="0"/>
    <n v="-700095.66339153808"/>
  </r>
  <r>
    <x v="10"/>
    <d v="2025-12-03T00:00:00"/>
    <d v="2025-12-24T00:00:00"/>
    <x v="0"/>
    <n v="9"/>
    <n v="2449"/>
    <n v="1862.5628195437541"/>
    <n v="1662.2202268543867"/>
    <n v="4070777.3355663931"/>
    <n v="4561416.3450626535"/>
    <n v="-490639.00949626043"/>
    <n v="-35130.472149208734"/>
    <n v="-525769.4816454692"/>
    <n v="0"/>
    <n v="0"/>
    <n v="0"/>
    <n v="-525769.4816454692"/>
  </r>
  <r>
    <x v="11"/>
    <d v="2026-01-06T00:00:00"/>
    <d v="2026-01-26T00:00:00"/>
    <x v="0"/>
    <n v="9"/>
    <n v="2817"/>
    <n v="1862.5628195437541"/>
    <n v="1662.2202268543867"/>
    <n v="4682474.3790488075"/>
    <n v="5246839.4626547555"/>
    <n v="-564365.0836059479"/>
    <n v="-40409.367106705184"/>
    <n v="-604774.45071265311"/>
    <n v="0"/>
    <n v="0"/>
    <n v="0"/>
    <n v="-604774.45071265311"/>
  </r>
  <r>
    <x v="0"/>
    <d v="2025-02-05T00:00:00"/>
    <d v="2025-02-24T00:00:00"/>
    <x v="1"/>
    <n v="9"/>
    <n v="3414"/>
    <n v="1862.5628195437541"/>
    <n v="1662.2202268543867"/>
    <n v="5674819.8544808766"/>
    <n v="6358789.4659223761"/>
    <n v="-683969.61144149955"/>
    <n v="-48973.226589382859"/>
    <n v="-732942.83803088241"/>
    <n v="0"/>
    <n v="0"/>
    <n v="0"/>
    <n v="-732942.83803088241"/>
  </r>
  <r>
    <x v="1"/>
    <d v="2025-03-05T00:00:00"/>
    <d v="2025-03-24T00:00:00"/>
    <x v="1"/>
    <n v="9"/>
    <n v="3330"/>
    <n v="1862.5628195437541"/>
    <n v="1662.2202268543867"/>
    <n v="5535193.3554251082"/>
    <n v="6202334.1890807012"/>
    <n v="-667140.83365559299"/>
    <n v="-47768.261436041277"/>
    <n v="-714909.09509163431"/>
    <n v="0"/>
    <n v="0"/>
    <n v="0"/>
    <n v="-714909.09509163431"/>
  </r>
  <r>
    <x v="2"/>
    <d v="2025-04-03T00:00:00"/>
    <d v="2025-04-24T00:00:00"/>
    <x v="1"/>
    <n v="9"/>
    <n v="2483"/>
    <n v="1862.5628195437541"/>
    <n v="1662.2202268543867"/>
    <n v="4127292.8232794423"/>
    <n v="4624743.4809271414"/>
    <n v="-497450.65764769912"/>
    <n v="-35618.196139846994"/>
    <n v="-533068.85378754616"/>
    <n v="0"/>
    <n v="0"/>
    <n v="0"/>
    <n v="-533068.85378754616"/>
  </r>
  <r>
    <x v="3"/>
    <d v="2025-05-05T00:00:00"/>
    <d v="2025-05-26T00:00:00"/>
    <x v="1"/>
    <n v="9"/>
    <n v="2549"/>
    <n v="1862.5628195437541"/>
    <n v="1662.2202268543867"/>
    <n v="4236999.3582518315"/>
    <n v="4747672.6270170296"/>
    <n v="-510673.26876519807"/>
    <n v="-36564.954474615377"/>
    <n v="-547238.22323981347"/>
    <n v="0"/>
    <n v="0"/>
    <n v="0"/>
    <n v="-547238.22323981347"/>
  </r>
  <r>
    <x v="4"/>
    <d v="2025-06-04T00:00:00"/>
    <d v="2025-06-24T00:00:00"/>
    <x v="1"/>
    <n v="9"/>
    <n v="3007"/>
    <n v="1862.5628195437541"/>
    <n v="1662.2202268543867"/>
    <n v="4998296.2221511407"/>
    <n v="5600726.398368069"/>
    <n v="-602430.17621692829"/>
    <n v="-43134.883524977806"/>
    <n v="-645565.05974190612"/>
    <n v="0"/>
    <n v="0"/>
    <n v="0"/>
    <n v="-645565.05974190612"/>
  </r>
  <r>
    <x v="5"/>
    <d v="2025-07-03T00:00:00"/>
    <d v="2025-07-24T00:00:00"/>
    <x v="1"/>
    <n v="9"/>
    <n v="3377"/>
    <n v="1862.5628195437541"/>
    <n v="1662.2202268543867"/>
    <n v="5613317.7060872642"/>
    <n v="6289874.6415992575"/>
    <n v="-676556.93551199324"/>
    <n v="-48442.4681289824"/>
    <n v="-724999.40364097559"/>
    <n v="0"/>
    <n v="0"/>
    <n v="0"/>
    <n v="-724999.40364097559"/>
  </r>
  <r>
    <x v="6"/>
    <d v="2025-08-05T00:00:00"/>
    <d v="2025-08-25T00:00:00"/>
    <x v="1"/>
    <n v="9"/>
    <n v="3723"/>
    <n v="1862.5628195437541"/>
    <n v="1662.2202268543867"/>
    <n v="6188445.9045788823"/>
    <n v="6934321.3771613967"/>
    <n v="-745875.4725825144"/>
    <n v="-53405.776974889392"/>
    <n v="-799281.24955740385"/>
    <n v="0"/>
    <n v="0"/>
    <n v="0"/>
    <n v="-799281.24955740385"/>
  </r>
  <r>
    <x v="7"/>
    <d v="2025-09-04T00:00:00"/>
    <d v="2025-09-24T00:00:00"/>
    <x v="1"/>
    <n v="9"/>
    <n v="3715"/>
    <n v="1862.5628195437541"/>
    <n v="1662.2202268543867"/>
    <n v="6175148.1427640468"/>
    <n v="6919420.8746050466"/>
    <n v="-744272.7318409998"/>
    <n v="-53291.018388856857"/>
    <n v="-797563.7502298567"/>
    <n v="0"/>
    <n v="0"/>
    <n v="0"/>
    <n v="-797563.7502298567"/>
  </r>
  <r>
    <x v="8"/>
    <d v="2025-10-03T00:00:00"/>
    <d v="2025-10-24T00:00:00"/>
    <x v="1"/>
    <n v="9"/>
    <n v="3256"/>
    <n v="1862.5628195437541"/>
    <n v="1662.2202268543867"/>
    <n v="5412189.0586378835"/>
    <n v="6064504.5404344639"/>
    <n v="-652315.48179658037"/>
    <n v="-46706.74451524036"/>
    <n v="-699022.22631182068"/>
    <n v="0"/>
    <n v="0"/>
    <n v="0"/>
    <n v="-699022.22631182068"/>
  </r>
  <r>
    <x v="9"/>
    <d v="2025-11-05T00:00:00"/>
    <d v="2025-11-24T00:00:00"/>
    <x v="1"/>
    <n v="9"/>
    <n v="3014"/>
    <n v="1862.5628195437541"/>
    <n v="1662.2202268543867"/>
    <n v="5009931.7637391221"/>
    <n v="5613764.3381048748"/>
    <n v="-603832.57436575275"/>
    <n v="-43235.297287756272"/>
    <n v="-647067.87165350898"/>
    <n v="0"/>
    <n v="0"/>
    <n v="0"/>
    <n v="-647067.87165350898"/>
  </r>
  <r>
    <x v="10"/>
    <d v="2025-12-03T00:00:00"/>
    <d v="2025-12-24T00:00:00"/>
    <x v="1"/>
    <n v="9"/>
    <n v="2338"/>
    <n v="1862.5628195437541"/>
    <n v="1662.2202268543867"/>
    <n v="3886270.890385556"/>
    <n v="4354671.8720932975"/>
    <n v="-468400.98170774151"/>
    <n v="-33538.196768007358"/>
    <n v="-501939.17847574886"/>
    <n v="0"/>
    <n v="0"/>
    <n v="0"/>
    <n v="-501939.17847574886"/>
  </r>
  <r>
    <x v="11"/>
    <d v="2026-01-06T00:00:00"/>
    <d v="2026-01-26T00:00:00"/>
    <x v="1"/>
    <n v="9"/>
    <n v="2969"/>
    <n v="1862.5628195437541"/>
    <n v="1662.2202268543867"/>
    <n v="4935131.8535306742"/>
    <n v="5529949.0112254061"/>
    <n v="-594817.15769473184"/>
    <n v="-42589.780241323286"/>
    <n v="-637406.93793605512"/>
    <n v="0"/>
    <n v="0"/>
    <n v="0"/>
    <n v="-637406.93793605512"/>
  </r>
  <r>
    <x v="0"/>
    <d v="2025-02-05T00:00:00"/>
    <d v="2025-02-24T00:00:00"/>
    <x v="2"/>
    <n v="9"/>
    <n v="211"/>
    <n v="1862.5628195437541"/>
    <n v="1662.2202268543867"/>
    <n v="350728.46786627558"/>
    <n v="393000.75492373214"/>
    <n v="-42272.28705745656"/>
    <n v="-3026.7577066080207"/>
    <n v="-45299.04476406458"/>
    <n v="0"/>
    <n v="0"/>
    <n v="0"/>
    <n v="-45299.04476406458"/>
  </r>
  <r>
    <x v="1"/>
    <d v="2025-03-05T00:00:00"/>
    <d v="2025-03-24T00:00:00"/>
    <x v="2"/>
    <n v="9"/>
    <n v="200"/>
    <n v="1862.5628195437541"/>
    <n v="1662.2202268543867"/>
    <n v="332444.04537087737"/>
    <n v="372512.56390875083"/>
    <n v="-40068.51853787346"/>
    <n v="-2868.9646508132896"/>
    <n v="-42937.483188686747"/>
    <n v="0"/>
    <n v="0"/>
    <n v="0"/>
    <n v="-42937.483188686747"/>
  </r>
  <r>
    <x v="2"/>
    <d v="2025-04-03T00:00:00"/>
    <d v="2025-04-24T00:00:00"/>
    <x v="2"/>
    <n v="9"/>
    <n v="122"/>
    <n v="1862.5628195437541"/>
    <n v="1662.2202268543867"/>
    <n v="202790.86767623518"/>
    <n v="227232.663984338"/>
    <n v="-24441.796308102814"/>
    <n v="-1750.0684369961066"/>
    <n v="-26191.864745098919"/>
    <n v="0"/>
    <n v="0"/>
    <n v="0"/>
    <n v="-26191.864745098919"/>
  </r>
  <r>
    <x v="3"/>
    <d v="2025-05-05T00:00:00"/>
    <d v="2025-05-26T00:00:00"/>
    <x v="2"/>
    <n v="9"/>
    <n v="109"/>
    <n v="1862.5628195437541"/>
    <n v="1662.2202268543867"/>
    <n v="181182.00472712817"/>
    <n v="203019.3473302692"/>
    <n v="-21837.342603141034"/>
    <n v="-1563.585734693243"/>
    <n v="-23400.928337834277"/>
    <n v="0"/>
    <n v="0"/>
    <n v="0"/>
    <n v="-23400.928337834277"/>
  </r>
  <r>
    <x v="4"/>
    <d v="2025-06-04T00:00:00"/>
    <d v="2025-06-24T00:00:00"/>
    <x v="2"/>
    <n v="9"/>
    <n v="102"/>
    <n v="1862.5628195437541"/>
    <n v="1662.2202268543867"/>
    <n v="169546.46313914744"/>
    <n v="189981.40759346291"/>
    <n v="-20434.944454315468"/>
    <n v="-1463.1719719147777"/>
    <n v="-21898.116426230245"/>
    <n v="0"/>
    <n v="0"/>
    <n v="0"/>
    <n v="-21898.116426230245"/>
  </r>
  <r>
    <x v="5"/>
    <d v="2025-07-03T00:00:00"/>
    <d v="2025-07-24T00:00:00"/>
    <x v="2"/>
    <n v="9"/>
    <n v="131"/>
    <n v="1862.5628195437541"/>
    <n v="1662.2202268543867"/>
    <n v="217750.84971792466"/>
    <n v="243995.72936023178"/>
    <n v="-26244.879642307118"/>
    <n v="-1879.1718462827048"/>
    <n v="-28124.051488589823"/>
    <n v="0"/>
    <n v="0"/>
    <n v="0"/>
    <n v="-28124.051488589823"/>
  </r>
  <r>
    <x v="6"/>
    <d v="2025-08-05T00:00:00"/>
    <d v="2025-08-25T00:00:00"/>
    <x v="2"/>
    <n v="9"/>
    <n v="146"/>
    <n v="1862.5628195437541"/>
    <n v="1662.2202268543867"/>
    <n v="242684.15312074046"/>
    <n v="271934.17165338813"/>
    <n v="-29250.018532647664"/>
    <n v="-2094.3441950937013"/>
    <n v="-31344.362727741365"/>
    <n v="0"/>
    <n v="0"/>
    <n v="0"/>
    <n v="-31344.362727741365"/>
  </r>
  <r>
    <x v="7"/>
    <d v="2025-09-04T00:00:00"/>
    <d v="2025-09-24T00:00:00"/>
    <x v="2"/>
    <n v="9"/>
    <n v="149"/>
    <n v="1862.5628195437541"/>
    <n v="1662.2202268543867"/>
    <n v="247670.81380130362"/>
    <n v="277521.86011201935"/>
    <n v="-29851.046310715727"/>
    <n v="-2137.3786648559008"/>
    <n v="-31988.424975571626"/>
    <n v="0"/>
    <n v="0"/>
    <n v="0"/>
    <n v="-31988.424975571626"/>
  </r>
  <r>
    <x v="8"/>
    <d v="2025-10-03T00:00:00"/>
    <d v="2025-10-24T00:00:00"/>
    <x v="2"/>
    <n v="9"/>
    <n v="122"/>
    <n v="1862.5628195437541"/>
    <n v="1662.2202268543867"/>
    <n v="202790.86767623518"/>
    <n v="227232.663984338"/>
    <n v="-24441.796308102814"/>
    <n v="-1750.0684369961066"/>
    <n v="-26191.864745098919"/>
    <n v="0"/>
    <n v="0"/>
    <n v="0"/>
    <n v="-26191.864745098919"/>
  </r>
  <r>
    <x v="9"/>
    <d v="2025-11-05T00:00:00"/>
    <d v="2025-11-24T00:00:00"/>
    <x v="2"/>
    <n v="9"/>
    <n v="117"/>
    <n v="1862.5628195437541"/>
    <n v="1662.2202268543867"/>
    <n v="194479.76654196324"/>
    <n v="217919.84988661922"/>
    <n v="-23440.083344655985"/>
    <n v="-1678.3443207257747"/>
    <n v="-25118.427665381758"/>
    <n v="0"/>
    <n v="0"/>
    <n v="0"/>
    <n v="-25118.427665381758"/>
  </r>
  <r>
    <x v="10"/>
    <d v="2025-12-03T00:00:00"/>
    <d v="2025-12-24T00:00:00"/>
    <x v="2"/>
    <n v="9"/>
    <n v="118"/>
    <n v="1862.5628195437541"/>
    <n v="1662.2202268543867"/>
    <n v="196141.98676881765"/>
    <n v="219782.41270616298"/>
    <n v="-23640.425937345339"/>
    <n v="-1692.689143979841"/>
    <n v="-25333.115081325181"/>
    <n v="0"/>
    <n v="0"/>
    <n v="0"/>
    <n v="-25333.115081325181"/>
  </r>
  <r>
    <x v="11"/>
    <d v="2026-01-06T00:00:00"/>
    <d v="2026-01-26T00:00:00"/>
    <x v="2"/>
    <n v="9"/>
    <n v="178"/>
    <n v="1862.5628195437541"/>
    <n v="1662.2202268543867"/>
    <n v="295875.20038008085"/>
    <n v="331536.18187878822"/>
    <n v="-35660.981498707377"/>
    <n v="-2553.3785392238278"/>
    <n v="-38214.360037931205"/>
    <n v="0"/>
    <n v="0"/>
    <n v="0"/>
    <n v="-38214.360037931205"/>
  </r>
  <r>
    <x v="0"/>
    <d v="2025-02-05T00:00:00"/>
    <d v="2025-02-24T00:00:00"/>
    <x v="3"/>
    <n v="9"/>
    <n v="966"/>
    <n v="1862.5628195437541"/>
    <n v="1662.2202268543867"/>
    <n v="1605704.7391413376"/>
    <n v="1799235.6836792666"/>
    <n v="-193530.94453792903"/>
    <n v="-13857.09926342819"/>
    <n v="-207388.04380135721"/>
    <n v="0"/>
    <n v="0"/>
    <n v="0"/>
    <n v="-207388.04380135721"/>
  </r>
  <r>
    <x v="1"/>
    <d v="2025-03-05T00:00:00"/>
    <d v="2025-03-24T00:00:00"/>
    <x v="3"/>
    <n v="9"/>
    <n v="1102"/>
    <n v="1862.5628195437541"/>
    <n v="1662.2202268543867"/>
    <n v="1831766.6899935342"/>
    <n v="2052544.2271372171"/>
    <n v="-220777.53714368283"/>
    <n v="-15807.995225981225"/>
    <n v="-236585.53236966406"/>
    <n v="0"/>
    <n v="0"/>
    <n v="0"/>
    <n v="-236585.53236966406"/>
  </r>
  <r>
    <x v="2"/>
    <d v="2025-04-03T00:00:00"/>
    <d v="2025-04-24T00:00:00"/>
    <x v="3"/>
    <n v="9"/>
    <n v="715"/>
    <n v="1862.5628195437541"/>
    <n v="1662.2202268543867"/>
    <n v="1188487.4622008866"/>
    <n v="1331732.4159737842"/>
    <n v="-143244.9537728976"/>
    <n v="-10256.54862665751"/>
    <n v="-153501.50239955512"/>
    <n v="0"/>
    <n v="0"/>
    <n v="0"/>
    <n v="-153501.50239955512"/>
  </r>
  <r>
    <x v="3"/>
    <d v="2025-05-05T00:00:00"/>
    <d v="2025-05-26T00:00:00"/>
    <x v="3"/>
    <n v="9"/>
    <n v="581"/>
    <n v="1862.5628195437541"/>
    <n v="1662.2202268543867"/>
    <n v="965749.95180239866"/>
    <n v="1082148.9981549212"/>
    <n v="-116399.04635252256"/>
    <n v="-8334.3423106126065"/>
    <n v="-124733.38866313518"/>
    <n v="0"/>
    <n v="0"/>
    <n v="0"/>
    <n v="-124733.38866313518"/>
  </r>
  <r>
    <x v="4"/>
    <d v="2025-06-04T00:00:00"/>
    <d v="2025-06-24T00:00:00"/>
    <x v="3"/>
    <n v="9"/>
    <n v="781"/>
    <n v="1862.5628195437541"/>
    <n v="1662.2202268543867"/>
    <n v="1298193.997173276"/>
    <n v="1454661.5620636719"/>
    <n v="-156467.56489039585"/>
    <n v="-11203.306961425897"/>
    <n v="-167670.87185182175"/>
    <n v="0"/>
    <n v="0"/>
    <n v="0"/>
    <n v="-167670.87185182175"/>
  </r>
  <r>
    <x v="5"/>
    <d v="2025-07-03T00:00:00"/>
    <d v="2025-07-24T00:00:00"/>
    <x v="3"/>
    <n v="9"/>
    <n v="896"/>
    <n v="1862.5628195437541"/>
    <n v="1662.2202268543867"/>
    <n v="1489349.3232615306"/>
    <n v="1668856.2863112036"/>
    <n v="-179506.96304967301"/>
    <n v="-12852.961635643536"/>
    <n v="-192359.92468531654"/>
    <n v="0"/>
    <n v="0"/>
    <n v="0"/>
    <n v="-192359.92468531654"/>
  </r>
  <r>
    <x v="6"/>
    <d v="2025-08-05T00:00:00"/>
    <d v="2025-08-25T00:00:00"/>
    <x v="3"/>
    <n v="9"/>
    <n v="1028"/>
    <n v="1862.5628195437541"/>
    <n v="1662.2202268543867"/>
    <n v="1708762.3932063095"/>
    <n v="1914714.5784909793"/>
    <n v="-205952.18528466974"/>
    <n v="-14746.47830518031"/>
    <n v="-220698.66358985007"/>
    <n v="0"/>
    <n v="0"/>
    <n v="0"/>
    <n v="-220698.66358985007"/>
  </r>
  <r>
    <x v="7"/>
    <d v="2025-09-04T00:00:00"/>
    <d v="2025-09-24T00:00:00"/>
    <x v="3"/>
    <n v="9"/>
    <n v="1055"/>
    <n v="1862.5628195437541"/>
    <n v="1662.2202268543867"/>
    <n v="1753642.339331378"/>
    <n v="1965003.7746186606"/>
    <n v="-211361.43528728257"/>
    <n v="-15133.788533040104"/>
    <n v="-226495.22382032266"/>
    <n v="0"/>
    <n v="0"/>
    <n v="0"/>
    <n v="-226495.22382032266"/>
  </r>
  <r>
    <x v="8"/>
    <d v="2025-10-03T00:00:00"/>
    <d v="2025-10-24T00:00:00"/>
    <x v="3"/>
    <n v="9"/>
    <n v="815"/>
    <n v="1862.5628195437541"/>
    <n v="1662.2202268543867"/>
    <n v="1354709.4848863252"/>
    <n v="1517988.6979281597"/>
    <n v="-163279.21304183453"/>
    <n v="-11691.030952064155"/>
    <n v="-174970.24399389868"/>
    <n v="0"/>
    <n v="0"/>
    <n v="0"/>
    <n v="-174970.24399389868"/>
  </r>
  <r>
    <x v="9"/>
    <d v="2025-11-05T00:00:00"/>
    <d v="2025-11-24T00:00:00"/>
    <x v="3"/>
    <n v="9"/>
    <n v="738"/>
    <n v="1862.5628195437541"/>
    <n v="1662.2202268543867"/>
    <n v="1226718.5274185373"/>
    <n v="1374571.3608232907"/>
    <n v="-147852.83340475336"/>
    <n v="-10586.479561501039"/>
    <n v="-158439.31296625439"/>
    <n v="0"/>
    <n v="0"/>
    <n v="0"/>
    <n v="-158439.31296625439"/>
  </r>
  <r>
    <x v="10"/>
    <d v="2025-12-03T00:00:00"/>
    <d v="2025-12-24T00:00:00"/>
    <x v="3"/>
    <n v="9"/>
    <n v="706"/>
    <n v="1862.5628195437541"/>
    <n v="1662.2202268543867"/>
    <n v="1173527.480159197"/>
    <n v="1314969.3505978903"/>
    <n v="-141441.87043869332"/>
    <n v="-10127.445217370912"/>
    <n v="-151569.31565606422"/>
    <n v="0"/>
    <n v="0"/>
    <n v="0"/>
    <n v="-151569.31565606422"/>
  </r>
  <r>
    <x v="11"/>
    <d v="2026-01-06T00:00:00"/>
    <d v="2026-01-26T00:00:00"/>
    <x v="3"/>
    <n v="9"/>
    <n v="863"/>
    <n v="1862.5628195437541"/>
    <n v="1662.2202268543867"/>
    <n v="1434496.0557753358"/>
    <n v="1607391.7132662598"/>
    <n v="-172895.657490924"/>
    <n v="-12379.582468259343"/>
    <n v="-185275.23995918335"/>
    <n v="0"/>
    <n v="0"/>
    <n v="0"/>
    <n v="-185275.23995918335"/>
  </r>
  <r>
    <x v="0"/>
    <d v="2025-02-05T00:00:00"/>
    <d v="2025-02-24T00:00:00"/>
    <x v="4"/>
    <n v="9"/>
    <n v="47"/>
    <n v="1862.5628195437541"/>
    <n v="1662.2202268543867"/>
    <n v="78124.350662156183"/>
    <n v="87540.452518556442"/>
    <n v="-9416.1018564002588"/>
    <n v="-674.20669294112304"/>
    <n v="-10090.308549341382"/>
    <n v="0"/>
    <n v="0"/>
    <n v="0"/>
    <n v="-10090.308549341382"/>
  </r>
  <r>
    <x v="1"/>
    <d v="2025-03-05T00:00:00"/>
    <d v="2025-03-24T00:00:00"/>
    <x v="4"/>
    <n v="9"/>
    <n v="57"/>
    <n v="1862.5628195437541"/>
    <n v="1662.2202268543867"/>
    <n v="94746.55293070004"/>
    <n v="106166.08071399399"/>
    <n v="-11419.527783293946"/>
    <n v="-817.65492548178759"/>
    <n v="-12237.182708775734"/>
    <n v="0"/>
    <n v="0"/>
    <n v="0"/>
    <n v="-12237.182708775734"/>
  </r>
  <r>
    <x v="2"/>
    <d v="2025-04-03T00:00:00"/>
    <d v="2025-04-24T00:00:00"/>
    <x v="4"/>
    <n v="9"/>
    <n v="34"/>
    <n v="1862.5628195437541"/>
    <n v="1662.2202268543867"/>
    <n v="56515.487713049151"/>
    <n v="63327.135864487638"/>
    <n v="-6811.6481514384868"/>
    <n v="-487.72399063825924"/>
    <n v="-7299.3721420767461"/>
    <n v="0"/>
    <n v="0"/>
    <n v="0"/>
    <n v="-7299.3721420767461"/>
  </r>
  <r>
    <x v="3"/>
    <d v="2025-05-05T00:00:00"/>
    <d v="2025-05-26T00:00:00"/>
    <x v="4"/>
    <n v="9"/>
    <n v="27"/>
    <n v="1862.5628195437541"/>
    <n v="1662.2202268543867"/>
    <n v="44879.94612506844"/>
    <n v="50289.19612768136"/>
    <n v="-5409.2500026129201"/>
    <n v="-387.31022785979411"/>
    <n v="-5796.5602304727145"/>
    <n v="0"/>
    <n v="0"/>
    <n v="0"/>
    <n v="-5796.5602304727145"/>
  </r>
  <r>
    <x v="4"/>
    <d v="2025-06-04T00:00:00"/>
    <d v="2025-06-24T00:00:00"/>
    <x v="4"/>
    <n v="9"/>
    <n v="40"/>
    <n v="1862.5628195437541"/>
    <n v="1662.2202268543867"/>
    <n v="66488.809074175471"/>
    <n v="74502.512781750163"/>
    <n v="-8013.7037075746921"/>
    <n v="-573.79293016265785"/>
    <n v="-8587.4966377373494"/>
    <n v="0"/>
    <n v="0"/>
    <n v="0"/>
    <n v="-8587.4966377373494"/>
  </r>
  <r>
    <x v="5"/>
    <d v="2025-07-03T00:00:00"/>
    <d v="2025-07-24T00:00:00"/>
    <x v="4"/>
    <n v="9"/>
    <n v="46"/>
    <n v="1862.5628195437541"/>
    <n v="1662.2202268543867"/>
    <n v="76462.130435301791"/>
    <n v="85677.889699012696"/>
    <n v="-9215.7592637109046"/>
    <n v="-659.8618696870567"/>
    <n v="-9875.6211333979609"/>
    <n v="0"/>
    <n v="0"/>
    <n v="0"/>
    <n v="-9875.6211333979609"/>
  </r>
  <r>
    <x v="6"/>
    <d v="2025-08-05T00:00:00"/>
    <d v="2025-08-25T00:00:00"/>
    <x v="4"/>
    <n v="9"/>
    <n v="55"/>
    <n v="1862.5628195437541"/>
    <n v="1662.2202268543867"/>
    <n v="91422.112476991271"/>
    <n v="102440.95507490648"/>
    <n v="-11018.842597915209"/>
    <n v="-788.96527897365479"/>
    <n v="-11807.807876888864"/>
    <n v="0"/>
    <n v="0"/>
    <n v="0"/>
    <n v="-11807.807876888864"/>
  </r>
  <r>
    <x v="7"/>
    <d v="2025-09-04T00:00:00"/>
    <d v="2025-09-24T00:00:00"/>
    <x v="4"/>
    <n v="9"/>
    <n v="55"/>
    <n v="1862.5628195437541"/>
    <n v="1662.2202268543867"/>
    <n v="91422.112476991271"/>
    <n v="102440.95507490648"/>
    <n v="-11018.842597915209"/>
    <n v="-788.96527897365479"/>
    <n v="-11807.807876888864"/>
    <n v="0"/>
    <n v="0"/>
    <n v="0"/>
    <n v="-11807.807876888864"/>
  </r>
  <r>
    <x v="8"/>
    <d v="2025-10-03T00:00:00"/>
    <d v="2025-10-24T00:00:00"/>
    <x v="4"/>
    <n v="9"/>
    <n v="44"/>
    <n v="1862.5628195437541"/>
    <n v="1662.2202268543867"/>
    <n v="73137.689981593023"/>
    <n v="81952.764059925175"/>
    <n v="-8815.0740783321526"/>
    <n v="-631.17222317892379"/>
    <n v="-9446.246301511077"/>
    <n v="0"/>
    <n v="0"/>
    <n v="0"/>
    <n v="-9446.246301511077"/>
  </r>
  <r>
    <x v="9"/>
    <d v="2025-11-05T00:00:00"/>
    <d v="2025-11-24T00:00:00"/>
    <x v="4"/>
    <n v="9"/>
    <n v="34"/>
    <n v="1862.5628195437541"/>
    <n v="1662.2202268543867"/>
    <n v="56515.487713049151"/>
    <n v="63327.135864487638"/>
    <n v="-6811.6481514384868"/>
    <n v="-487.72399063825924"/>
    <n v="-7299.3721420767461"/>
    <n v="0"/>
    <n v="0"/>
    <n v="0"/>
    <n v="-7299.3721420767461"/>
  </r>
  <r>
    <x v="10"/>
    <d v="2025-12-03T00:00:00"/>
    <d v="2025-12-24T00:00:00"/>
    <x v="4"/>
    <n v="9"/>
    <n v="35"/>
    <n v="1862.5628195437541"/>
    <n v="1662.2202268543867"/>
    <n v="58177.707939903536"/>
    <n v="65189.698684031391"/>
    <n v="-7011.9907441278556"/>
    <n v="-502.06881389232569"/>
    <n v="-7514.0595580201816"/>
    <n v="0"/>
    <n v="0"/>
    <n v="0"/>
    <n v="-7514.0595580201816"/>
  </r>
  <r>
    <x v="11"/>
    <d v="2026-01-06T00:00:00"/>
    <d v="2026-01-26T00:00:00"/>
    <x v="4"/>
    <n v="9"/>
    <n v="39"/>
    <n v="1862.5628195437541"/>
    <n v="1662.2202268543867"/>
    <n v="64826.58884732108"/>
    <n v="72639.949962206418"/>
    <n v="-7813.3611148853379"/>
    <n v="-559.44810690859151"/>
    <n v="-8372.8092217939302"/>
    <n v="0"/>
    <n v="0"/>
    <n v="0"/>
    <n v="-8372.8092217939302"/>
  </r>
  <r>
    <x v="0"/>
    <d v="2025-02-05T00:00:00"/>
    <d v="2025-02-24T00:00:00"/>
    <x v="5"/>
    <n v="9"/>
    <n v="67"/>
    <n v="1862.5628195437541"/>
    <n v="1662.2202268543867"/>
    <n v="111368.75519924391"/>
    <n v="124791.70890943153"/>
    <n v="-13422.953710187619"/>
    <n v="-961.10315802245213"/>
    <n v="-14384.056868210071"/>
    <n v="0"/>
    <n v="0"/>
    <n v="0"/>
    <n v="-14384.056868210071"/>
  </r>
  <r>
    <x v="1"/>
    <d v="2025-03-05T00:00:00"/>
    <d v="2025-03-24T00:00:00"/>
    <x v="5"/>
    <n v="9"/>
    <n v="71"/>
    <n v="1862.5628195437541"/>
    <n v="1662.2202268543867"/>
    <n v="118017.63610666146"/>
    <n v="132241.96018760654"/>
    <n v="-14224.32408094508"/>
    <n v="-1018.4824510387178"/>
    <n v="-15242.806531983797"/>
    <n v="0"/>
    <n v="0"/>
    <n v="0"/>
    <n v="-15242.806531983797"/>
  </r>
  <r>
    <x v="2"/>
    <d v="2025-04-03T00:00:00"/>
    <d v="2025-04-24T00:00:00"/>
    <x v="5"/>
    <n v="9"/>
    <n v="49"/>
    <n v="1862.5628195437541"/>
    <n v="1662.2202268543867"/>
    <n v="81448.791115864951"/>
    <n v="91265.578157643948"/>
    <n v="-9816.7870417789964"/>
    <n v="-702.89633944925595"/>
    <n v="-10519.683381228253"/>
    <n v="0"/>
    <n v="0"/>
    <n v="0"/>
    <n v="-10519.683381228253"/>
  </r>
  <r>
    <x v="3"/>
    <d v="2025-05-05T00:00:00"/>
    <d v="2025-05-26T00:00:00"/>
    <x v="5"/>
    <n v="9"/>
    <n v="37"/>
    <n v="1862.5628195437541"/>
    <n v="1662.2202268543867"/>
    <n v="61502.148393612311"/>
    <n v="68914.824323118897"/>
    <n v="-7412.6759295065858"/>
    <n v="-530.7584604004586"/>
    <n v="-7943.4343899070445"/>
    <n v="0"/>
    <n v="0"/>
    <n v="0"/>
    <n v="-7943.4343899070445"/>
  </r>
  <r>
    <x v="4"/>
    <d v="2025-06-04T00:00:00"/>
    <d v="2025-06-24T00:00:00"/>
    <x v="5"/>
    <n v="9"/>
    <n v="50"/>
    <n v="1862.5628195437541"/>
    <n v="1662.2202268543867"/>
    <n v="83111.011342719343"/>
    <n v="93128.140977187708"/>
    <n v="-10017.129634468365"/>
    <n v="-717.2411627033224"/>
    <n v="-10734.370797171687"/>
    <n v="0"/>
    <n v="0"/>
    <n v="0"/>
    <n v="-10734.370797171687"/>
  </r>
  <r>
    <x v="5"/>
    <d v="2025-07-03T00:00:00"/>
    <d v="2025-07-24T00:00:00"/>
    <x v="5"/>
    <n v="9"/>
    <n v="54"/>
    <n v="1862.5628195437541"/>
    <n v="1662.2202268543867"/>
    <n v="89759.89225013688"/>
    <n v="100578.39225536272"/>
    <n v="-10818.50000522584"/>
    <n v="-774.62045571958822"/>
    <n v="-11593.120460945429"/>
    <n v="0"/>
    <n v="0"/>
    <n v="0"/>
    <n v="-11593.120460945429"/>
  </r>
  <r>
    <x v="6"/>
    <d v="2025-08-05T00:00:00"/>
    <d v="2025-08-25T00:00:00"/>
    <x v="5"/>
    <n v="9"/>
    <n v="62"/>
    <n v="1862.5628195437541"/>
    <n v="1662.2202268543867"/>
    <n v="103057.65406497198"/>
    <n v="115478.89481171276"/>
    <n v="-12421.240746740776"/>
    <n v="-889.37904175211986"/>
    <n v="-13310.619788492895"/>
    <n v="0"/>
    <n v="0"/>
    <n v="0"/>
    <n v="-13310.619788492895"/>
  </r>
  <r>
    <x v="7"/>
    <d v="2025-09-04T00:00:00"/>
    <d v="2025-09-24T00:00:00"/>
    <x v="5"/>
    <n v="9"/>
    <n v="55"/>
    <n v="1862.5628195437541"/>
    <n v="1662.2202268543867"/>
    <n v="91422.112476991271"/>
    <n v="102440.95507490648"/>
    <n v="-11018.842597915209"/>
    <n v="-788.96527897365479"/>
    <n v="-11807.807876888864"/>
    <n v="0"/>
    <n v="0"/>
    <n v="0"/>
    <n v="-11807.807876888864"/>
  </r>
  <r>
    <x v="8"/>
    <d v="2025-10-03T00:00:00"/>
    <d v="2025-10-24T00:00:00"/>
    <x v="5"/>
    <n v="9"/>
    <n v="50"/>
    <n v="1862.5628195437541"/>
    <n v="1662.2202268543867"/>
    <n v="83111.011342719343"/>
    <n v="93128.140977187708"/>
    <n v="-10017.129634468365"/>
    <n v="-717.2411627033224"/>
    <n v="-10734.370797171687"/>
    <n v="0"/>
    <n v="0"/>
    <n v="0"/>
    <n v="-10734.370797171687"/>
  </r>
  <r>
    <x v="9"/>
    <d v="2025-11-05T00:00:00"/>
    <d v="2025-11-24T00:00:00"/>
    <x v="5"/>
    <n v="9"/>
    <n v="47"/>
    <n v="1862.5628195437541"/>
    <n v="1662.2202268543867"/>
    <n v="78124.350662156183"/>
    <n v="87540.452518556442"/>
    <n v="-9416.1018564002588"/>
    <n v="-674.20669294112304"/>
    <n v="-10090.308549341382"/>
    <n v="0"/>
    <n v="0"/>
    <n v="0"/>
    <n v="-10090.308549341382"/>
  </r>
  <r>
    <x v="10"/>
    <d v="2025-12-03T00:00:00"/>
    <d v="2025-12-24T00:00:00"/>
    <x v="5"/>
    <n v="9"/>
    <n v="48"/>
    <n v="1862.5628195437541"/>
    <n v="1662.2202268543867"/>
    <n v="79786.57088901056"/>
    <n v="89403.015338100202"/>
    <n v="-9616.4444490896421"/>
    <n v="-688.55151619518961"/>
    <n v="-10304.995965284832"/>
    <n v="0"/>
    <n v="0"/>
    <n v="0"/>
    <n v="-10304.995965284832"/>
  </r>
  <r>
    <x v="11"/>
    <d v="2026-01-06T00:00:00"/>
    <d v="2026-01-26T00:00:00"/>
    <x v="5"/>
    <n v="9"/>
    <n v="58"/>
    <n v="1862.5628195437541"/>
    <n v="1662.2202268543867"/>
    <n v="96408.773157554431"/>
    <n v="108028.64353353775"/>
    <n v="-11619.870375983315"/>
    <n v="-831.99974873585404"/>
    <n v="-12451.870124719169"/>
    <n v="0"/>
    <n v="0"/>
    <n v="0"/>
    <n v="-12451.870124719169"/>
  </r>
  <r>
    <x v="0"/>
    <d v="2025-02-05T00:00:00"/>
    <d v="2025-02-24T00:00:00"/>
    <x v="6"/>
    <n v="9"/>
    <n v="89"/>
    <n v="1862.5628195437541"/>
    <n v="1662.2202268543867"/>
    <n v="147937.60019004042"/>
    <n v="165768.09093939411"/>
    <n v="-17830.490749353688"/>
    <n v="-1276.6892696119139"/>
    <n v="-19107.180018965602"/>
    <n v="0"/>
    <n v="0"/>
    <n v="0"/>
    <n v="-19107.180018965602"/>
  </r>
  <r>
    <x v="1"/>
    <d v="2025-03-05T00:00:00"/>
    <d v="2025-03-24T00:00:00"/>
    <x v="6"/>
    <n v="9"/>
    <n v="102"/>
    <n v="1862.5628195437541"/>
    <n v="1662.2202268543867"/>
    <n v="169546.46313914744"/>
    <n v="189981.40759346291"/>
    <n v="-20434.944454315468"/>
    <n v="-1463.1719719147777"/>
    <n v="-21898.116426230245"/>
    <n v="0"/>
    <n v="0"/>
    <n v="0"/>
    <n v="-21898.116426230245"/>
  </r>
  <r>
    <x v="2"/>
    <d v="2025-04-03T00:00:00"/>
    <d v="2025-04-24T00:00:00"/>
    <x v="6"/>
    <n v="9"/>
    <n v="64"/>
    <n v="1862.5628195437541"/>
    <n v="1662.2202268543867"/>
    <n v="106382.09451868075"/>
    <n v="119204.02045080026"/>
    <n v="-12821.925932119513"/>
    <n v="-918.06868826025266"/>
    <n v="-13739.994620379766"/>
    <n v="0"/>
    <n v="0"/>
    <n v="0"/>
    <n v="-13739.994620379766"/>
  </r>
  <r>
    <x v="3"/>
    <d v="2025-05-05T00:00:00"/>
    <d v="2025-05-26T00:00:00"/>
    <x v="6"/>
    <n v="9"/>
    <n v="71"/>
    <n v="1862.5628195437541"/>
    <n v="1662.2202268543867"/>
    <n v="118017.63610666146"/>
    <n v="132241.96018760654"/>
    <n v="-14224.32408094508"/>
    <n v="-1018.4824510387178"/>
    <n v="-15242.806531983797"/>
    <n v="0"/>
    <n v="0"/>
    <n v="0"/>
    <n v="-15242.806531983797"/>
  </r>
  <r>
    <x v="4"/>
    <d v="2025-06-04T00:00:00"/>
    <d v="2025-06-24T00:00:00"/>
    <x v="6"/>
    <n v="9"/>
    <n v="108"/>
    <n v="1862.5628195437541"/>
    <n v="1662.2202268543867"/>
    <n v="179519.78450027376"/>
    <n v="201156.78451072544"/>
    <n v="-21637.00001045168"/>
    <n v="-1549.2409114391764"/>
    <n v="-23186.240921890858"/>
    <n v="0"/>
    <n v="0"/>
    <n v="0"/>
    <n v="-23186.240921890858"/>
  </r>
  <r>
    <x v="5"/>
    <d v="2025-07-03T00:00:00"/>
    <d v="2025-07-24T00:00:00"/>
    <x v="6"/>
    <n v="9"/>
    <n v="130"/>
    <n v="1862.5628195437541"/>
    <n v="1662.2202268543867"/>
    <n v="216088.62949107029"/>
    <n v="242133.16654068805"/>
    <n v="-26044.537049617764"/>
    <n v="-1864.8270230286382"/>
    <n v="-27909.364072646404"/>
    <n v="0"/>
    <n v="0"/>
    <n v="0"/>
    <n v="-27909.364072646404"/>
  </r>
  <r>
    <x v="6"/>
    <d v="2025-08-05T00:00:00"/>
    <d v="2025-08-25T00:00:00"/>
    <x v="6"/>
    <n v="9"/>
    <n v="151"/>
    <n v="1862.5628195437541"/>
    <n v="1662.2202268543867"/>
    <n v="250995.25425501241"/>
    <n v="281246.98575110687"/>
    <n v="-30251.731496094464"/>
    <n v="-2166.0683113640339"/>
    <n v="-32417.799807458498"/>
    <n v="0"/>
    <n v="0"/>
    <n v="0"/>
    <n v="-32417.799807458498"/>
  </r>
  <r>
    <x v="7"/>
    <d v="2025-09-04T00:00:00"/>
    <d v="2025-09-24T00:00:00"/>
    <x v="6"/>
    <n v="9"/>
    <n v="145"/>
    <n v="1862.5628195437541"/>
    <n v="1662.2202268543867"/>
    <n v="241021.93289388609"/>
    <n v="270071.60883384437"/>
    <n v="-29049.675939958281"/>
    <n v="-2079.9993718396349"/>
    <n v="-31129.675311797917"/>
    <n v="0"/>
    <n v="0"/>
    <n v="0"/>
    <n v="-31129.675311797917"/>
  </r>
  <r>
    <x v="8"/>
    <d v="2025-10-03T00:00:00"/>
    <d v="2025-10-24T00:00:00"/>
    <x v="6"/>
    <n v="9"/>
    <n v="126"/>
    <n v="1862.5628195437541"/>
    <n v="1662.2202268543867"/>
    <n v="209439.74858365272"/>
    <n v="234682.91526251301"/>
    <n v="-25243.166678860289"/>
    <n v="-1807.4477300123726"/>
    <n v="-27050.614408872661"/>
    <n v="0"/>
    <n v="0"/>
    <n v="0"/>
    <n v="-27050.614408872661"/>
  </r>
  <r>
    <x v="9"/>
    <d v="2025-11-05T00:00:00"/>
    <d v="2025-11-24T00:00:00"/>
    <x v="6"/>
    <n v="9"/>
    <n v="106"/>
    <n v="1862.5628195437541"/>
    <n v="1662.2202268543867"/>
    <n v="176195.34404656501"/>
    <n v="197431.65887163795"/>
    <n v="-21236.314825072943"/>
    <n v="-1520.5512649310435"/>
    <n v="-22756.866090003987"/>
    <n v="0"/>
    <n v="0"/>
    <n v="0"/>
    <n v="-22756.866090003987"/>
  </r>
  <r>
    <x v="10"/>
    <d v="2025-12-03T00:00:00"/>
    <d v="2025-12-24T00:00:00"/>
    <x v="6"/>
    <n v="9"/>
    <n v="67"/>
    <n v="1862.5628195437541"/>
    <n v="1662.2202268543867"/>
    <n v="111368.75519924391"/>
    <n v="124791.70890943153"/>
    <n v="-13422.953710187619"/>
    <n v="-961.10315802245213"/>
    <n v="-14384.056868210071"/>
    <n v="0"/>
    <n v="0"/>
    <n v="0"/>
    <n v="-14384.056868210071"/>
  </r>
  <r>
    <x v="11"/>
    <d v="2026-01-06T00:00:00"/>
    <d v="2026-01-26T00:00:00"/>
    <x v="6"/>
    <n v="9"/>
    <n v="82"/>
    <n v="1862.5628195437541"/>
    <n v="1662.2202268543867"/>
    <n v="136302.05860205973"/>
    <n v="152730.15120258785"/>
    <n v="-16428.092600528122"/>
    <n v="-1176.2755068334488"/>
    <n v="-17604.36810736157"/>
    <n v="0"/>
    <n v="0"/>
    <n v="0"/>
    <n v="-17604.36810736157"/>
  </r>
  <r>
    <x v="0"/>
    <d v="2025-02-05T00:00:00"/>
    <d v="2025-02-24T00:00:00"/>
    <x v="7"/>
    <n v="9"/>
    <n v="70"/>
    <n v="1862.5628195437541"/>
    <n v="1662.2202268543867"/>
    <n v="116355.41587980707"/>
    <n v="130379.39736806278"/>
    <n v="-14023.981488255711"/>
    <n v="-1004.1376277846514"/>
    <n v="-15028.119116040363"/>
    <n v="0"/>
    <n v="0"/>
    <n v="0"/>
    <n v="-15028.119116040363"/>
  </r>
  <r>
    <x v="1"/>
    <d v="2025-03-05T00:00:00"/>
    <d v="2025-03-24T00:00:00"/>
    <x v="7"/>
    <n v="9"/>
    <n v="50"/>
    <n v="1862.5628195437541"/>
    <n v="1662.2202268543867"/>
    <n v="83111.011342719343"/>
    <n v="93128.140977187708"/>
    <n v="-10017.129634468365"/>
    <n v="-717.2411627033224"/>
    <n v="-10734.370797171687"/>
    <n v="0"/>
    <n v="0"/>
    <n v="0"/>
    <n v="-10734.370797171687"/>
  </r>
  <r>
    <x v="2"/>
    <d v="2025-04-03T00:00:00"/>
    <d v="2025-04-24T00:00:00"/>
    <x v="7"/>
    <n v="9"/>
    <n v="67"/>
    <n v="1862.5628195437541"/>
    <n v="1662.2202268543867"/>
    <n v="111368.75519924391"/>
    <n v="124791.70890943153"/>
    <n v="-13422.953710187619"/>
    <n v="-961.10315802245213"/>
    <n v="-14384.056868210071"/>
    <n v="0"/>
    <n v="0"/>
    <n v="0"/>
    <n v="-14384.056868210071"/>
  </r>
  <r>
    <x v="3"/>
    <d v="2025-05-05T00:00:00"/>
    <d v="2025-05-26T00:00:00"/>
    <x v="7"/>
    <n v="9"/>
    <n v="71"/>
    <n v="1862.5628195437541"/>
    <n v="1662.2202268543867"/>
    <n v="118017.63610666146"/>
    <n v="132241.96018760654"/>
    <n v="-14224.32408094508"/>
    <n v="-1018.4824510387178"/>
    <n v="-15242.806531983797"/>
    <n v="0"/>
    <n v="0"/>
    <n v="0"/>
    <n v="-15242.806531983797"/>
  </r>
  <r>
    <x v="4"/>
    <d v="2025-06-04T00:00:00"/>
    <d v="2025-06-24T00:00:00"/>
    <x v="7"/>
    <n v="9"/>
    <n v="64"/>
    <n v="1862.5628195437541"/>
    <n v="1662.2202268543867"/>
    <n v="106382.09451868075"/>
    <n v="119204.02045080026"/>
    <n v="-12821.925932119513"/>
    <n v="-918.06868826025266"/>
    <n v="-13739.994620379766"/>
    <n v="0"/>
    <n v="0"/>
    <n v="0"/>
    <n v="-13739.994620379766"/>
  </r>
  <r>
    <x v="5"/>
    <d v="2025-07-03T00:00:00"/>
    <d v="2025-07-24T00:00:00"/>
    <x v="7"/>
    <n v="9"/>
    <n v="72"/>
    <n v="1862.5628195437541"/>
    <n v="1662.2202268543867"/>
    <n v="119679.85633351584"/>
    <n v="134104.5230071503"/>
    <n v="-14424.666673634463"/>
    <n v="-1032.8272742927843"/>
    <n v="-15457.493947927247"/>
    <n v="0"/>
    <n v="0"/>
    <n v="0"/>
    <n v="-15457.493947927247"/>
  </r>
  <r>
    <x v="6"/>
    <d v="2025-08-05T00:00:00"/>
    <d v="2025-08-25T00:00:00"/>
    <x v="7"/>
    <n v="9"/>
    <n v="11"/>
    <n v="1862.5628195437541"/>
    <n v="1662.2202268543867"/>
    <n v="18284.422495398256"/>
    <n v="20488.191014981294"/>
    <n v="-2203.7685195830381"/>
    <n v="-157.79305579473095"/>
    <n v="-2361.5615753777693"/>
    <n v="0"/>
    <n v="0"/>
    <n v="0"/>
    <n v="-2361.5615753777693"/>
  </r>
  <r>
    <x v="7"/>
    <d v="2025-09-04T00:00:00"/>
    <d v="2025-09-24T00:00:00"/>
    <x v="7"/>
    <n v="9"/>
    <n v="62"/>
    <n v="1862.5628195437541"/>
    <n v="1662.2202268543867"/>
    <n v="103057.65406497198"/>
    <n v="115478.89481171276"/>
    <n v="-12421.240746740776"/>
    <n v="-889.37904175211986"/>
    <n v="-13310.619788492895"/>
    <n v="0"/>
    <n v="0"/>
    <n v="0"/>
    <n v="-13310.619788492895"/>
  </r>
  <r>
    <x v="8"/>
    <d v="2025-10-03T00:00:00"/>
    <d v="2025-10-24T00:00:00"/>
    <x v="7"/>
    <n v="9"/>
    <n v="72"/>
    <n v="1862.5628195437541"/>
    <n v="1662.2202268543867"/>
    <n v="119679.85633351584"/>
    <n v="134104.5230071503"/>
    <n v="-14424.666673634463"/>
    <n v="-1032.8272742927843"/>
    <n v="-15457.493947927247"/>
    <n v="0"/>
    <n v="0"/>
    <n v="0"/>
    <n v="-15457.493947927247"/>
  </r>
  <r>
    <x v="9"/>
    <d v="2025-11-05T00:00:00"/>
    <d v="2025-11-24T00:00:00"/>
    <x v="7"/>
    <n v="9"/>
    <n v="72"/>
    <n v="1862.5628195437541"/>
    <n v="1662.2202268543867"/>
    <n v="119679.85633351584"/>
    <n v="134104.5230071503"/>
    <n v="-14424.666673634463"/>
    <n v="-1032.8272742927843"/>
    <n v="-15457.493947927247"/>
    <n v="0"/>
    <n v="0"/>
    <n v="0"/>
    <n v="-15457.493947927247"/>
  </r>
  <r>
    <x v="10"/>
    <d v="2025-12-03T00:00:00"/>
    <d v="2025-12-24T00:00:00"/>
    <x v="7"/>
    <n v="9"/>
    <n v="67"/>
    <n v="1862.5628195437541"/>
    <n v="1662.2202268543867"/>
    <n v="111368.75519924391"/>
    <n v="124791.70890943153"/>
    <n v="-13422.953710187619"/>
    <n v="-961.10315802245213"/>
    <n v="-14384.056868210071"/>
    <n v="0"/>
    <n v="0"/>
    <n v="0"/>
    <n v="-14384.056868210071"/>
  </r>
  <r>
    <x v="11"/>
    <d v="2026-01-06T00:00:00"/>
    <d v="2026-01-26T00:00:00"/>
    <x v="7"/>
    <n v="9"/>
    <n v="68"/>
    <n v="1862.5628195437541"/>
    <n v="1662.2202268543867"/>
    <n v="113030.9754260983"/>
    <n v="126654.27172897528"/>
    <n v="-13623.296302876974"/>
    <n v="-975.44798127651848"/>
    <n v="-14598.744284153492"/>
    <n v="0"/>
    <n v="0"/>
    <n v="0"/>
    <n v="-14598.744284153492"/>
  </r>
  <r>
    <x v="0"/>
    <d v="2025-02-05T00:00:00"/>
    <d v="2025-02-24T00:00:00"/>
    <x v="8"/>
    <n v="9"/>
    <n v="1315"/>
    <n v="1862.5628195437541"/>
    <n v="1662.2202268543867"/>
    <n v="2185819.5983135183"/>
    <n v="2449270.1077000368"/>
    <n v="-263450.5093865185"/>
    <n v="-18863.44257909738"/>
    <n v="-282313.95196561591"/>
    <n v="0"/>
    <n v="0"/>
    <n v="0"/>
    <n v="-282313.95196561591"/>
  </r>
  <r>
    <x v="1"/>
    <d v="2025-03-05T00:00:00"/>
    <d v="2025-03-24T00:00:00"/>
    <x v="8"/>
    <n v="9"/>
    <n v="1377"/>
    <n v="1862.5628195437541"/>
    <n v="1662.2202268543867"/>
    <n v="2288877.2523784908"/>
    <n v="2564749.0025117495"/>
    <n v="-275871.75013325876"/>
    <n v="-19752.8216208495"/>
    <n v="-295624.57175410824"/>
    <n v="0"/>
    <n v="0"/>
    <n v="0"/>
    <n v="-295624.57175410824"/>
  </r>
  <r>
    <x v="2"/>
    <d v="2025-04-03T00:00:00"/>
    <d v="2025-04-24T00:00:00"/>
    <x v="8"/>
    <n v="9"/>
    <n v="791"/>
    <n v="1862.5628195437541"/>
    <n v="1662.2202268543867"/>
    <n v="1314816.1994418199"/>
    <n v="1473287.1902591095"/>
    <n v="-158470.99081728957"/>
    <n v="-11346.755193966561"/>
    <n v="-169817.74601125612"/>
    <n v="0"/>
    <n v="0"/>
    <n v="0"/>
    <n v="-169817.74601125612"/>
  </r>
  <r>
    <x v="3"/>
    <d v="2025-05-05T00:00:00"/>
    <d v="2025-05-26T00:00:00"/>
    <x v="8"/>
    <n v="9"/>
    <n v="603"/>
    <n v="1862.5628195437541"/>
    <n v="1662.2202268543867"/>
    <n v="1002318.7967931952"/>
    <n v="1123125.3801848837"/>
    <n v="-120806.58339168853"/>
    <n v="-8649.9284222020688"/>
    <n v="-129456.5118138906"/>
    <n v="0"/>
    <n v="0"/>
    <n v="0"/>
    <n v="-129456.5118138906"/>
  </r>
  <r>
    <x v="4"/>
    <d v="2025-06-04T00:00:00"/>
    <d v="2025-06-24T00:00:00"/>
    <x v="8"/>
    <n v="9"/>
    <n v="738"/>
    <n v="1862.5628195437541"/>
    <n v="1662.2202268543867"/>
    <n v="1226718.5274185373"/>
    <n v="1374571.3608232907"/>
    <n v="-147852.83340475336"/>
    <n v="-10586.479561501039"/>
    <n v="-158439.31296625439"/>
    <n v="0"/>
    <n v="0"/>
    <n v="0"/>
    <n v="-158439.31296625439"/>
  </r>
  <r>
    <x v="5"/>
    <d v="2025-07-03T00:00:00"/>
    <d v="2025-07-24T00:00:00"/>
    <x v="8"/>
    <n v="9"/>
    <n v="849"/>
    <n v="1862.5628195437541"/>
    <n v="1662.2202268543867"/>
    <n v="1411224.9725993744"/>
    <n v="1581315.8337926473"/>
    <n v="-170090.86119327298"/>
    <n v="-12178.754942702413"/>
    <n v="-182269.6161359754"/>
    <n v="0"/>
    <n v="0"/>
    <n v="0"/>
    <n v="-182269.6161359754"/>
  </r>
  <r>
    <x v="6"/>
    <d v="2025-08-05T00:00:00"/>
    <d v="2025-08-25T00:00:00"/>
    <x v="8"/>
    <n v="9"/>
    <n v="978"/>
    <n v="1862.5628195437541"/>
    <n v="1662.2202268543867"/>
    <n v="1625651.3818635903"/>
    <n v="1821586.4375137915"/>
    <n v="-195935.05565020116"/>
    <n v="-14029.237142476986"/>
    <n v="-209964.29279267814"/>
    <n v="0"/>
    <n v="0"/>
    <n v="0"/>
    <n v="-209964.29279267814"/>
  </r>
  <r>
    <x v="7"/>
    <d v="2025-09-04T00:00:00"/>
    <d v="2025-09-24T00:00:00"/>
    <x v="8"/>
    <n v="9"/>
    <n v="1000"/>
    <n v="1862.5628195437541"/>
    <n v="1662.2202268543867"/>
    <n v="1662220.2268543867"/>
    <n v="1862562.8195437542"/>
    <n v="-200342.59268936748"/>
    <n v="-14344.823254066448"/>
    <n v="-214687.41594343394"/>
    <n v="0"/>
    <n v="0"/>
    <n v="0"/>
    <n v="-214687.41594343394"/>
  </r>
  <r>
    <x v="8"/>
    <d v="2025-10-03T00:00:00"/>
    <d v="2025-10-24T00:00:00"/>
    <x v="8"/>
    <n v="9"/>
    <n v="844"/>
    <n v="1862.5628195437541"/>
    <n v="1662.2202268543867"/>
    <n v="1402913.8714651023"/>
    <n v="1572003.0196949285"/>
    <n v="-169089.14822982624"/>
    <n v="-12107.030826432083"/>
    <n v="-181196.17905625832"/>
    <n v="0"/>
    <n v="0"/>
    <n v="0"/>
    <n v="-181196.17905625832"/>
  </r>
  <r>
    <x v="9"/>
    <d v="2025-11-05T00:00:00"/>
    <d v="2025-11-24T00:00:00"/>
    <x v="8"/>
    <n v="9"/>
    <n v="760"/>
    <n v="1862.5628195437541"/>
    <n v="1662.2202268543867"/>
    <n v="1263287.3724093339"/>
    <n v="1415547.7428532531"/>
    <n v="-152260.37044391921"/>
    <n v="-10902.065673090501"/>
    <n v="-163162.4361170097"/>
    <n v="0"/>
    <n v="0"/>
    <n v="0"/>
    <n v="-163162.4361170097"/>
  </r>
  <r>
    <x v="10"/>
    <d v="2025-12-03T00:00:00"/>
    <d v="2025-12-24T00:00:00"/>
    <x v="8"/>
    <n v="9"/>
    <n v="748"/>
    <n v="1862.5628195437541"/>
    <n v="1662.2202268543867"/>
    <n v="1243340.7296870812"/>
    <n v="1393196.989018728"/>
    <n v="-149856.25933164684"/>
    <n v="-10729.927794041703"/>
    <n v="-160586.18712568854"/>
    <n v="0"/>
    <n v="0"/>
    <n v="0"/>
    <n v="-160586.18712568854"/>
  </r>
  <r>
    <x v="11"/>
    <d v="2026-01-06T00:00:00"/>
    <d v="2026-01-26T00:00:00"/>
    <x v="8"/>
    <n v="9"/>
    <n v="1070"/>
    <n v="1862.5628195437541"/>
    <n v="1662.2202268543867"/>
    <n v="1778575.6427341937"/>
    <n v="1992942.216911817"/>
    <n v="-214366.57417762326"/>
    <n v="-15348.960881851101"/>
    <n v="-229715.53505947435"/>
    <n v="0"/>
    <n v="0"/>
    <n v="0"/>
    <n v="-229715.53505947435"/>
  </r>
  <r>
    <x v="0"/>
    <d v="2025-02-05T00:00:00"/>
    <d v="2025-02-24T00:00:00"/>
    <x v="9"/>
    <n v="9"/>
    <n v="7"/>
    <n v="1862.5628195437541"/>
    <n v="1662.2202268543867"/>
    <n v="11635.541587980708"/>
    <n v="13037.939736806278"/>
    <n v="-1402.3981488255704"/>
    <n v="-100.41376277846513"/>
    <n v="-1502.8119116040355"/>
    <n v="0"/>
    <n v="0"/>
    <n v="0"/>
    <n v="-1502.8119116040355"/>
  </r>
  <r>
    <x v="1"/>
    <d v="2025-03-05T00:00:00"/>
    <d v="2025-03-24T00:00:00"/>
    <x v="9"/>
    <n v="9"/>
    <n v="8"/>
    <n v="1862.5628195437541"/>
    <n v="1662.2202268543867"/>
    <n v="13297.761814835094"/>
    <n v="14900.502556350033"/>
    <n v="-1602.7407415149391"/>
    <n v="-114.75858603253158"/>
    <n v="-1717.4993275474708"/>
    <n v="0"/>
    <n v="0"/>
    <n v="0"/>
    <n v="-1717.4993275474708"/>
  </r>
  <r>
    <x v="2"/>
    <d v="2025-04-03T00:00:00"/>
    <d v="2025-04-24T00:00:00"/>
    <x v="9"/>
    <n v="9"/>
    <n v="7"/>
    <n v="1862.5628195437541"/>
    <n v="1662.2202268543867"/>
    <n v="11635.541587980708"/>
    <n v="13037.939736806278"/>
    <n v="-1402.3981488255704"/>
    <n v="-100.41376277846513"/>
    <n v="-1502.8119116040355"/>
    <n v="0"/>
    <n v="0"/>
    <n v="0"/>
    <n v="-1502.8119116040355"/>
  </r>
  <r>
    <x v="3"/>
    <d v="2025-05-05T00:00:00"/>
    <d v="2025-05-26T00:00:00"/>
    <x v="9"/>
    <n v="9"/>
    <n v="3"/>
    <n v="1862.5628195437541"/>
    <n v="1662.2202268543867"/>
    <n v="4986.66068056316"/>
    <n v="5587.6884586312626"/>
    <n v="-601.02777806810263"/>
    <n v="-43.03446976219935"/>
    <n v="-644.062247830302"/>
    <n v="0"/>
    <n v="0"/>
    <n v="0"/>
    <n v="-644.062247830302"/>
  </r>
  <r>
    <x v="4"/>
    <d v="2025-06-04T00:00:00"/>
    <d v="2025-06-24T00:00:00"/>
    <x v="9"/>
    <n v="9"/>
    <n v="5"/>
    <n v="1862.5628195437541"/>
    <n v="1662.2202268543867"/>
    <n v="8311.1011342719339"/>
    <n v="9312.8140977187704"/>
    <n v="-1001.7129634468365"/>
    <n v="-71.724116270332232"/>
    <n v="-1073.4370797171687"/>
    <n v="0"/>
    <n v="0"/>
    <n v="0"/>
    <n v="-1073.4370797171687"/>
  </r>
  <r>
    <x v="5"/>
    <d v="2025-07-03T00:00:00"/>
    <d v="2025-07-24T00:00:00"/>
    <x v="9"/>
    <n v="9"/>
    <n v="10"/>
    <n v="1862.5628195437541"/>
    <n v="1662.2202268543867"/>
    <n v="16622.202268543868"/>
    <n v="18625.628195437541"/>
    <n v="-2003.425926893673"/>
    <n v="-143.44823254066446"/>
    <n v="-2146.8741594343373"/>
    <n v="0"/>
    <n v="0"/>
    <n v="0"/>
    <n v="-2146.8741594343373"/>
  </r>
  <r>
    <x v="6"/>
    <d v="2025-08-05T00:00:00"/>
    <d v="2025-08-25T00:00:00"/>
    <x v="9"/>
    <n v="9"/>
    <n v="17"/>
    <n v="1862.5628195437541"/>
    <n v="1662.2202268543867"/>
    <n v="28257.743856524576"/>
    <n v="31663.567932243819"/>
    <n v="-3405.8240757192434"/>
    <n v="-243.86199531912962"/>
    <n v="-3649.686071038373"/>
    <n v="0"/>
    <n v="0"/>
    <n v="0"/>
    <n v="-3649.686071038373"/>
  </r>
  <r>
    <x v="7"/>
    <d v="2025-09-04T00:00:00"/>
    <d v="2025-09-24T00:00:00"/>
    <x v="9"/>
    <n v="9"/>
    <n v="16"/>
    <n v="1862.5628195437541"/>
    <n v="1662.2202268543867"/>
    <n v="26595.523629670188"/>
    <n v="29801.005112700066"/>
    <n v="-3205.4814830298783"/>
    <n v="-229.51717206506316"/>
    <n v="-3434.9986550949416"/>
    <n v="0"/>
    <n v="0"/>
    <n v="0"/>
    <n v="-3434.9986550949416"/>
  </r>
  <r>
    <x v="8"/>
    <d v="2025-10-03T00:00:00"/>
    <d v="2025-10-24T00:00:00"/>
    <x v="9"/>
    <n v="9"/>
    <n v="8"/>
    <n v="1862.5628195437541"/>
    <n v="1662.2202268543867"/>
    <n v="13297.761814835094"/>
    <n v="14900.502556350033"/>
    <n v="-1602.7407415149391"/>
    <n v="-114.75858603253158"/>
    <n v="-1717.4993275474708"/>
    <n v="0"/>
    <n v="0"/>
    <n v="0"/>
    <n v="-1717.4993275474708"/>
  </r>
  <r>
    <x v="9"/>
    <d v="2025-11-05T00:00:00"/>
    <d v="2025-11-24T00:00:00"/>
    <x v="9"/>
    <n v="9"/>
    <n v="8"/>
    <n v="1862.5628195437541"/>
    <n v="1662.2202268543867"/>
    <n v="13297.761814835094"/>
    <n v="14900.502556350033"/>
    <n v="-1602.7407415149391"/>
    <n v="-114.75858603253158"/>
    <n v="-1717.4993275474708"/>
    <n v="0"/>
    <n v="0"/>
    <n v="0"/>
    <n v="-1717.4993275474708"/>
  </r>
  <r>
    <x v="10"/>
    <d v="2025-12-03T00:00:00"/>
    <d v="2025-12-24T00:00:00"/>
    <x v="9"/>
    <n v="9"/>
    <n v="6"/>
    <n v="1862.5628195437541"/>
    <n v="1662.2202268543867"/>
    <n v="9973.32136112632"/>
    <n v="11175.376917262525"/>
    <n v="-1202.0555561362053"/>
    <n v="-86.068939524398701"/>
    <n v="-1288.124495660604"/>
    <n v="0"/>
    <n v="0"/>
    <n v="0"/>
    <n v="-1288.124495660604"/>
  </r>
  <r>
    <x v="11"/>
    <d v="2026-01-06T00:00:00"/>
    <d v="2026-01-26T00:00:00"/>
    <x v="9"/>
    <n v="9"/>
    <n v="7"/>
    <n v="1862.5628195437541"/>
    <n v="1662.2202268543867"/>
    <n v="11635.541587980708"/>
    <n v="13037.939736806278"/>
    <n v="-1402.3981488255704"/>
    <n v="-100.41376277846513"/>
    <n v="-1502.8119116040355"/>
    <n v="0"/>
    <n v="0"/>
    <n v="0"/>
    <n v="-1502.8119116040355"/>
  </r>
  <r>
    <x v="0"/>
    <d v="2025-02-05T00:00:00"/>
    <d v="2025-02-24T00:00:00"/>
    <x v="10"/>
    <n v="9"/>
    <n v="2"/>
    <n v="1862.5628195437541"/>
    <n v="1662.2202268543867"/>
    <n v="3324.4404537087735"/>
    <n v="3725.1256390875083"/>
    <n v="-400.68518537873479"/>
    <n v="-28.689646508132896"/>
    <n v="-429.3748318868677"/>
    <n v="0"/>
    <n v="0"/>
    <n v="0"/>
    <n v="-429.3748318868677"/>
  </r>
  <r>
    <x v="1"/>
    <d v="2025-03-05T00:00:00"/>
    <d v="2025-03-24T00:00:00"/>
    <x v="10"/>
    <n v="9"/>
    <n v="3"/>
    <n v="1862.5628195437541"/>
    <n v="1662.2202268543867"/>
    <n v="4986.66068056316"/>
    <n v="5587.6884586312626"/>
    <n v="-601.02777806810263"/>
    <n v="-43.03446976219935"/>
    <n v="-644.062247830302"/>
    <n v="0"/>
    <n v="0"/>
    <n v="0"/>
    <n v="-644.062247830302"/>
  </r>
  <r>
    <x v="2"/>
    <d v="2025-04-03T00:00:00"/>
    <d v="2025-04-24T00:00:00"/>
    <x v="10"/>
    <n v="9"/>
    <n v="2"/>
    <n v="1862.5628195437541"/>
    <n v="1662.2202268543867"/>
    <n v="3324.4404537087735"/>
    <n v="3725.1256390875083"/>
    <n v="-400.68518537873479"/>
    <n v="-28.689646508132896"/>
    <n v="-429.3748318868677"/>
    <n v="0"/>
    <n v="0"/>
    <n v="0"/>
    <n v="-429.3748318868677"/>
  </r>
  <r>
    <x v="3"/>
    <d v="2025-05-05T00:00:00"/>
    <d v="2025-05-26T00:00:00"/>
    <x v="10"/>
    <n v="9"/>
    <n v="1"/>
    <n v="1862.5628195437541"/>
    <n v="1662.2202268543867"/>
    <n v="1662.2202268543867"/>
    <n v="1862.5628195437541"/>
    <n v="-200.34259268936739"/>
    <n v="-14.344823254066448"/>
    <n v="-214.68741594343385"/>
    <n v="0"/>
    <n v="0"/>
    <n v="0"/>
    <n v="-214.68741594343385"/>
  </r>
  <r>
    <x v="4"/>
    <d v="2025-06-04T00:00:00"/>
    <d v="2025-06-24T00:00:00"/>
    <x v="10"/>
    <n v="9"/>
    <n v="2"/>
    <n v="1862.5628195437541"/>
    <n v="1662.2202268543867"/>
    <n v="3324.4404537087735"/>
    <n v="3725.1256390875083"/>
    <n v="-400.68518537873479"/>
    <n v="-28.689646508132896"/>
    <n v="-429.3748318868677"/>
    <n v="0"/>
    <n v="0"/>
    <n v="0"/>
    <n v="-429.3748318868677"/>
  </r>
  <r>
    <x v="5"/>
    <d v="2025-07-03T00:00:00"/>
    <d v="2025-07-24T00:00:00"/>
    <x v="10"/>
    <n v="9"/>
    <n v="3"/>
    <n v="1862.5628195437541"/>
    <n v="1662.2202268543867"/>
    <n v="4986.66068056316"/>
    <n v="5587.6884586312626"/>
    <n v="-601.02777806810263"/>
    <n v="-43.03446976219935"/>
    <n v="-644.062247830302"/>
    <n v="0"/>
    <n v="0"/>
    <n v="0"/>
    <n v="-644.062247830302"/>
  </r>
  <r>
    <x v="6"/>
    <d v="2025-08-05T00:00:00"/>
    <d v="2025-08-25T00:00:00"/>
    <x v="10"/>
    <n v="9"/>
    <n v="7"/>
    <n v="1862.5628195437541"/>
    <n v="1662.2202268543867"/>
    <n v="11635.541587980708"/>
    <n v="13037.939736806278"/>
    <n v="-1402.3981488255704"/>
    <n v="-100.41376277846513"/>
    <n v="-1502.8119116040355"/>
    <n v="0"/>
    <n v="0"/>
    <n v="0"/>
    <n v="-1502.8119116040355"/>
  </r>
  <r>
    <x v="7"/>
    <d v="2025-09-04T00:00:00"/>
    <d v="2025-09-24T00:00:00"/>
    <x v="10"/>
    <n v="9"/>
    <n v="5"/>
    <n v="1862.5628195437541"/>
    <n v="1662.2202268543867"/>
    <n v="8311.1011342719339"/>
    <n v="9312.8140977187704"/>
    <n v="-1001.7129634468365"/>
    <n v="-71.724116270332232"/>
    <n v="-1073.4370797171687"/>
    <n v="0"/>
    <n v="0"/>
    <n v="0"/>
    <n v="-1073.4370797171687"/>
  </r>
  <r>
    <x v="8"/>
    <d v="2025-10-03T00:00:00"/>
    <d v="2025-10-24T00:00:00"/>
    <x v="10"/>
    <n v="9"/>
    <n v="2"/>
    <n v="1862.5628195437541"/>
    <n v="1662.2202268543867"/>
    <n v="3324.4404537087735"/>
    <n v="3725.1256390875083"/>
    <n v="-400.68518537873479"/>
    <n v="-28.689646508132896"/>
    <n v="-429.3748318868677"/>
    <n v="0"/>
    <n v="0"/>
    <n v="0"/>
    <n v="-429.3748318868677"/>
  </r>
  <r>
    <x v="9"/>
    <d v="2025-11-05T00:00:00"/>
    <d v="2025-11-24T00:00:00"/>
    <x v="10"/>
    <n v="9"/>
    <n v="3"/>
    <n v="1862.5628195437541"/>
    <n v="1662.2202268543867"/>
    <n v="4986.66068056316"/>
    <n v="5587.6884586312626"/>
    <n v="-601.02777806810263"/>
    <n v="-43.03446976219935"/>
    <n v="-644.062247830302"/>
    <n v="0"/>
    <n v="0"/>
    <n v="0"/>
    <n v="-644.062247830302"/>
  </r>
  <r>
    <x v="10"/>
    <d v="2025-12-03T00:00:00"/>
    <d v="2025-12-24T00:00:00"/>
    <x v="10"/>
    <n v="9"/>
    <n v="1"/>
    <n v="1862.5628195437541"/>
    <n v="1662.2202268543867"/>
    <n v="1662.2202268543867"/>
    <n v="1862.5628195437541"/>
    <n v="-200.34259268936739"/>
    <n v="-14.344823254066448"/>
    <n v="-214.68741594343385"/>
    <n v="0"/>
    <n v="0"/>
    <n v="0"/>
    <n v="-214.68741594343385"/>
  </r>
  <r>
    <x v="11"/>
    <d v="2026-01-06T00:00:00"/>
    <d v="2026-01-26T00:00:00"/>
    <x v="10"/>
    <n v="9"/>
    <n v="2"/>
    <n v="1862.5628195437541"/>
    <n v="1662.2202268543867"/>
    <n v="3324.4404537087735"/>
    <n v="3725.1256390875083"/>
    <n v="-400.68518537873479"/>
    <n v="-28.689646508132896"/>
    <n v="-429.3748318868677"/>
    <n v="0"/>
    <n v="0"/>
    <n v="0"/>
    <n v="-429.3748318868677"/>
  </r>
  <r>
    <x v="0"/>
    <d v="2025-02-05T00:00:00"/>
    <d v="2025-02-24T00:00:00"/>
    <x v="11"/>
    <n v="9"/>
    <n v="137"/>
    <n v="1862.5628195437541"/>
    <n v="1662.2202268543867"/>
    <n v="227724.17107905098"/>
    <n v="255171.10627749431"/>
    <n v="-27446.935198443331"/>
    <n v="-1965.2407858071033"/>
    <n v="-29412.175984250433"/>
    <n v="0"/>
    <n v="0"/>
    <n v="0"/>
    <n v="-29412.175984250433"/>
  </r>
  <r>
    <x v="1"/>
    <d v="2025-03-05T00:00:00"/>
    <d v="2025-03-24T00:00:00"/>
    <x v="11"/>
    <n v="9"/>
    <n v="156"/>
    <n v="1862.5628195437541"/>
    <n v="1662.2202268543867"/>
    <n v="259306.35538928432"/>
    <n v="290559.79984882567"/>
    <n v="-31253.444459541352"/>
    <n v="-2237.792427634366"/>
    <n v="-33491.236887175721"/>
    <n v="0"/>
    <n v="0"/>
    <n v="0"/>
    <n v="-33491.236887175721"/>
  </r>
  <r>
    <x v="2"/>
    <d v="2025-04-03T00:00:00"/>
    <d v="2025-04-24T00:00:00"/>
    <x v="11"/>
    <n v="9"/>
    <n v="113"/>
    <n v="1862.5628195437541"/>
    <n v="1662.2202268543867"/>
    <n v="187830.8856345457"/>
    <n v="210469.59860844421"/>
    <n v="-22638.71297389851"/>
    <n v="-1620.9650277095086"/>
    <n v="-24259.678001608019"/>
    <n v="0"/>
    <n v="0"/>
    <n v="0"/>
    <n v="-24259.678001608019"/>
  </r>
  <r>
    <x v="3"/>
    <d v="2025-05-05T00:00:00"/>
    <d v="2025-05-26T00:00:00"/>
    <x v="11"/>
    <n v="9"/>
    <n v="112"/>
    <n v="1862.5628195437541"/>
    <n v="1662.2202268543867"/>
    <n v="186168.66540769133"/>
    <n v="208607.03578890045"/>
    <n v="-22438.370381209126"/>
    <n v="-1606.620204455442"/>
    <n v="-24044.990585664567"/>
    <n v="0"/>
    <n v="0"/>
    <n v="0"/>
    <n v="-24044.990585664567"/>
  </r>
  <r>
    <x v="4"/>
    <d v="2025-06-04T00:00:00"/>
    <d v="2025-06-24T00:00:00"/>
    <x v="11"/>
    <n v="9"/>
    <n v="142"/>
    <n v="1862.5628195437541"/>
    <n v="1662.2202268543867"/>
    <n v="236035.27221332293"/>
    <n v="264483.92037521309"/>
    <n v="-28448.64816189016"/>
    <n v="-2036.9649020774357"/>
    <n v="-30485.613063967594"/>
    <n v="0"/>
    <n v="0"/>
    <n v="0"/>
    <n v="-30485.613063967594"/>
  </r>
  <r>
    <x v="5"/>
    <d v="2025-07-03T00:00:00"/>
    <d v="2025-07-24T00:00:00"/>
    <x v="11"/>
    <n v="9"/>
    <n v="165"/>
    <n v="1862.5628195437541"/>
    <n v="1662.2202268543867"/>
    <n v="274266.33743097383"/>
    <n v="307322.86522471946"/>
    <n v="-33056.527793745627"/>
    <n v="-2366.895836920964"/>
    <n v="-35423.423630666592"/>
    <n v="0"/>
    <n v="0"/>
    <n v="0"/>
    <n v="-35423.423630666592"/>
  </r>
  <r>
    <x v="6"/>
    <d v="2025-08-05T00:00:00"/>
    <d v="2025-08-25T00:00:00"/>
    <x v="11"/>
    <n v="9"/>
    <n v="185"/>
    <n v="1862.5628195437541"/>
    <n v="1662.2202268543867"/>
    <n v="307510.74196806154"/>
    <n v="344574.12161559449"/>
    <n v="-37063.379647532944"/>
    <n v="-2653.7923020022927"/>
    <n v="-39717.171949535237"/>
    <n v="0"/>
    <n v="0"/>
    <n v="0"/>
    <n v="-39717.171949535237"/>
  </r>
  <r>
    <x v="7"/>
    <d v="2025-09-04T00:00:00"/>
    <d v="2025-09-24T00:00:00"/>
    <x v="11"/>
    <n v="9"/>
    <n v="191"/>
    <n v="1862.5628195437541"/>
    <n v="1662.2202268543867"/>
    <n v="317484.06332918786"/>
    <n v="355749.49853285705"/>
    <n v="-38265.435203669185"/>
    <n v="-2739.8612415266916"/>
    <n v="-41005.296445195876"/>
    <n v="0"/>
    <n v="0"/>
    <n v="0"/>
    <n v="-41005.296445195876"/>
  </r>
  <r>
    <x v="8"/>
    <d v="2025-10-03T00:00:00"/>
    <d v="2025-10-24T00:00:00"/>
    <x v="11"/>
    <n v="9"/>
    <n v="140"/>
    <n v="1862.5628195437541"/>
    <n v="1662.2202268543867"/>
    <n v="232710.83175961414"/>
    <n v="260758.79473612556"/>
    <n v="-28047.962976511422"/>
    <n v="-2008.2752555693028"/>
    <n v="-30056.238232080726"/>
    <n v="0"/>
    <n v="0"/>
    <n v="0"/>
    <n v="-30056.238232080726"/>
  </r>
  <r>
    <x v="9"/>
    <d v="2025-11-05T00:00:00"/>
    <d v="2025-11-24T00:00:00"/>
    <x v="11"/>
    <n v="9"/>
    <n v="137"/>
    <n v="1862.5628195437541"/>
    <n v="1662.2202268543867"/>
    <n v="227724.17107905098"/>
    <n v="255171.10627749431"/>
    <n v="-27446.935198443331"/>
    <n v="-1965.2407858071033"/>
    <n v="-29412.175984250433"/>
    <n v="0"/>
    <n v="0"/>
    <n v="0"/>
    <n v="-29412.175984250433"/>
  </r>
  <r>
    <x v="10"/>
    <d v="2025-12-03T00:00:00"/>
    <d v="2025-12-24T00:00:00"/>
    <x v="11"/>
    <n v="9"/>
    <n v="120"/>
    <n v="1862.5628195437541"/>
    <n v="1662.2202268543867"/>
    <n v="199466.4272225264"/>
    <n v="223507.5383452505"/>
    <n v="-24041.111122724105"/>
    <n v="-1721.3787904879737"/>
    <n v="-25762.489913212077"/>
    <n v="0"/>
    <n v="0"/>
    <n v="0"/>
    <n v="-25762.489913212077"/>
  </r>
  <r>
    <x v="11"/>
    <d v="2026-01-06T00:00:00"/>
    <d v="2026-01-26T00:00:00"/>
    <x v="11"/>
    <n v="9"/>
    <n v="128"/>
    <n v="1862.5628195437541"/>
    <n v="1662.2202268543867"/>
    <n v="212764.1890373615"/>
    <n v="238408.04090160053"/>
    <n v="-25643.851864239026"/>
    <n v="-1836.1373765205053"/>
    <n v="-27479.989240759533"/>
    <n v="0"/>
    <n v="0"/>
    <n v="0"/>
    <n v="-27479.989240759533"/>
  </r>
  <r>
    <x v="0"/>
    <d v="2025-02-05T00:00:00"/>
    <d v="2025-02-24T00:00:00"/>
    <x v="12"/>
    <n v="9"/>
    <n v="11"/>
    <n v="1862.5628195437541"/>
    <n v="1662.2202268543867"/>
    <n v="18284.422495398256"/>
    <n v="20488.191014981294"/>
    <n v="-2203.7685195830381"/>
    <n v="-157.79305579473095"/>
    <n v="-2361.5615753777693"/>
    <n v="0"/>
    <n v="0"/>
    <n v="0"/>
    <n v="-2361.5615753777693"/>
  </r>
  <r>
    <x v="1"/>
    <d v="2025-03-05T00:00:00"/>
    <d v="2025-03-24T00:00:00"/>
    <x v="12"/>
    <n v="9"/>
    <n v="9"/>
    <n v="1862.5628195437541"/>
    <n v="1662.2202268543867"/>
    <n v="14959.98204168948"/>
    <n v="16763.065375893788"/>
    <n v="-1803.0833342043079"/>
    <n v="-129.10340928659804"/>
    <n v="-1932.1867434909059"/>
    <n v="0"/>
    <n v="0"/>
    <n v="0"/>
    <n v="-1932.1867434909059"/>
  </r>
  <r>
    <x v="2"/>
    <d v="2025-04-03T00:00:00"/>
    <d v="2025-04-24T00:00:00"/>
    <x v="12"/>
    <n v="9"/>
    <n v="8"/>
    <n v="1862.5628195437541"/>
    <n v="1662.2202268543867"/>
    <n v="13297.761814835094"/>
    <n v="14900.502556350033"/>
    <n v="-1602.7407415149391"/>
    <n v="-114.75858603253158"/>
    <n v="-1717.4993275474708"/>
    <n v="0"/>
    <n v="0"/>
    <n v="0"/>
    <n v="-1717.4993275474708"/>
  </r>
  <r>
    <x v="3"/>
    <d v="2025-05-05T00:00:00"/>
    <d v="2025-05-26T00:00:00"/>
    <x v="12"/>
    <n v="9"/>
    <n v="10"/>
    <n v="1862.5628195437541"/>
    <n v="1662.2202268543867"/>
    <n v="16622.202268543868"/>
    <n v="18625.628195437541"/>
    <n v="-2003.425926893673"/>
    <n v="-143.44823254066446"/>
    <n v="-2146.8741594343373"/>
    <n v="0"/>
    <n v="0"/>
    <n v="0"/>
    <n v="-2146.8741594343373"/>
  </r>
  <r>
    <x v="4"/>
    <d v="2025-06-04T00:00:00"/>
    <d v="2025-06-24T00:00:00"/>
    <x v="12"/>
    <n v="9"/>
    <n v="11"/>
    <n v="1862.5628195437541"/>
    <n v="1662.2202268543867"/>
    <n v="18284.422495398256"/>
    <n v="20488.191014981294"/>
    <n v="-2203.7685195830381"/>
    <n v="-157.79305579473095"/>
    <n v="-2361.5615753777693"/>
    <n v="0"/>
    <n v="0"/>
    <n v="0"/>
    <n v="-2361.5615753777693"/>
  </r>
  <r>
    <x v="5"/>
    <d v="2025-07-03T00:00:00"/>
    <d v="2025-07-24T00:00:00"/>
    <x v="12"/>
    <n v="9"/>
    <n v="11"/>
    <n v="1862.5628195437541"/>
    <n v="1662.2202268543867"/>
    <n v="18284.422495398256"/>
    <n v="20488.191014981294"/>
    <n v="-2203.7685195830381"/>
    <n v="-157.79305579473095"/>
    <n v="-2361.5615753777693"/>
    <n v="0"/>
    <n v="0"/>
    <n v="0"/>
    <n v="-2361.5615753777693"/>
  </r>
  <r>
    <x v="6"/>
    <d v="2025-08-05T00:00:00"/>
    <d v="2025-08-25T00:00:00"/>
    <x v="12"/>
    <n v="9"/>
    <n v="14"/>
    <n v="1862.5628195437541"/>
    <n v="1662.2202268543867"/>
    <n v="23271.083175961416"/>
    <n v="26075.879473612556"/>
    <n v="-2804.7962976511408"/>
    <n v="-200.82752555693025"/>
    <n v="-3005.6238232080709"/>
    <n v="0"/>
    <n v="0"/>
    <n v="0"/>
    <n v="-3005.6238232080709"/>
  </r>
  <r>
    <x v="7"/>
    <d v="2025-09-04T00:00:00"/>
    <d v="2025-09-24T00:00:00"/>
    <x v="12"/>
    <n v="9"/>
    <n v="11"/>
    <n v="1862.5628195437541"/>
    <n v="1662.2202268543867"/>
    <n v="18284.422495398256"/>
    <n v="20488.191014981294"/>
    <n v="-2203.7685195830381"/>
    <n v="-157.79305579473095"/>
    <n v="-2361.5615753777693"/>
    <n v="0"/>
    <n v="0"/>
    <n v="0"/>
    <n v="-2361.5615753777693"/>
  </r>
  <r>
    <x v="8"/>
    <d v="2025-10-03T00:00:00"/>
    <d v="2025-10-24T00:00:00"/>
    <x v="12"/>
    <n v="9"/>
    <n v="12"/>
    <n v="1862.5628195437541"/>
    <n v="1662.2202268543867"/>
    <n v="19946.64272225264"/>
    <n v="22350.75383452505"/>
    <n v="-2404.1111122724105"/>
    <n v="-172.1378790487974"/>
    <n v="-2576.248991321208"/>
    <n v="0"/>
    <n v="0"/>
    <n v="0"/>
    <n v="-2576.248991321208"/>
  </r>
  <r>
    <x v="9"/>
    <d v="2025-11-05T00:00:00"/>
    <d v="2025-11-24T00:00:00"/>
    <x v="12"/>
    <n v="9"/>
    <n v="13"/>
    <n v="1862.5628195437541"/>
    <n v="1662.2202268543867"/>
    <n v="21608.862949107028"/>
    <n v="24213.316654068803"/>
    <n v="-2604.4537049617757"/>
    <n v="-186.48270230286383"/>
    <n v="-2790.9364072646395"/>
    <n v="0"/>
    <n v="0"/>
    <n v="0"/>
    <n v="-2790.9364072646395"/>
  </r>
  <r>
    <x v="10"/>
    <d v="2025-12-03T00:00:00"/>
    <d v="2025-12-24T00:00:00"/>
    <x v="12"/>
    <n v="9"/>
    <n v="10"/>
    <n v="1862.5628195437541"/>
    <n v="1662.2202268543867"/>
    <n v="16622.202268543868"/>
    <n v="18625.628195437541"/>
    <n v="-2003.425926893673"/>
    <n v="-143.44823254066446"/>
    <n v="-2146.8741594343373"/>
    <n v="0"/>
    <n v="0"/>
    <n v="0"/>
    <n v="-2146.8741594343373"/>
  </r>
  <r>
    <x v="11"/>
    <d v="2026-01-06T00:00:00"/>
    <d v="2026-01-26T00:00:00"/>
    <x v="12"/>
    <n v="9"/>
    <n v="7"/>
    <n v="1862.5628195437541"/>
    <n v="1662.2202268543867"/>
    <n v="11635.541587980708"/>
    <n v="13037.939736806278"/>
    <n v="-1402.3981488255704"/>
    <n v="-100.41376277846513"/>
    <n v="-1502.8119116040355"/>
    <n v="0"/>
    <n v="0"/>
    <n v="0"/>
    <n v="-1502.8119116040355"/>
  </r>
  <r>
    <x v="0"/>
    <d v="2025-02-05T00:00:00"/>
    <d v="2025-02-24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1862.5628195437541"/>
    <n v="1662.2202268543867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1862.5628195437541"/>
    <n v="1662.2202268543867"/>
    <n v="61502.148393612311"/>
    <n v="68914.824323118897"/>
    <n v="-7412.6759295065858"/>
    <n v="-530.7584604004586"/>
    <n v="-7943.4343899070445"/>
    <n v="0"/>
    <n v="0"/>
    <n v="0"/>
    <n v="-7943.4343899070445"/>
  </r>
  <r>
    <x v="1"/>
    <d v="2025-03-05T00:00:00"/>
    <d v="2025-03-24T00:00:00"/>
    <x v="14"/>
    <n v="9"/>
    <n v="42"/>
    <n v="1862.5628195437541"/>
    <n v="1662.2202268543867"/>
    <n v="69813.24952788424"/>
    <n v="78227.638420837669"/>
    <n v="-8414.3888929534296"/>
    <n v="-602.48257667079076"/>
    <n v="-9016.8714696242205"/>
    <n v="0"/>
    <n v="0"/>
    <n v="0"/>
    <n v="-9016.8714696242205"/>
  </r>
  <r>
    <x v="2"/>
    <d v="2025-04-03T00:00:00"/>
    <d v="2025-04-24T00:00:00"/>
    <x v="14"/>
    <n v="9"/>
    <n v="30"/>
    <n v="1862.5628195437541"/>
    <n v="1662.2202268543867"/>
    <n v="49866.6068056316"/>
    <n v="55876.884586312626"/>
    <n v="-6010.2777806810263"/>
    <n v="-430.34469762199342"/>
    <n v="-6440.6224783030193"/>
    <n v="0"/>
    <n v="0"/>
    <n v="0"/>
    <n v="-6440.6224783030193"/>
  </r>
  <r>
    <x v="3"/>
    <d v="2025-05-05T00:00:00"/>
    <d v="2025-05-26T00:00:00"/>
    <x v="14"/>
    <n v="9"/>
    <n v="32"/>
    <n v="1862.5628195437541"/>
    <n v="1662.2202268543867"/>
    <n v="53191.047259340376"/>
    <n v="59602.010225400132"/>
    <n v="-6410.9629660597566"/>
    <n v="-459.03434413012633"/>
    <n v="-6869.9973101898831"/>
    <n v="0"/>
    <n v="0"/>
    <n v="0"/>
    <n v="-6869.9973101898831"/>
  </r>
  <r>
    <x v="4"/>
    <d v="2025-06-04T00:00:00"/>
    <d v="2025-06-24T00:00:00"/>
    <x v="14"/>
    <n v="9"/>
    <n v="39"/>
    <n v="1862.5628195437541"/>
    <n v="1662.2202268543867"/>
    <n v="64826.58884732108"/>
    <n v="72639.949962206418"/>
    <n v="-7813.3611148853379"/>
    <n v="-559.44810690859151"/>
    <n v="-8372.8092217939302"/>
    <n v="0"/>
    <n v="0"/>
    <n v="0"/>
    <n v="-8372.8092217939302"/>
  </r>
  <r>
    <x v="5"/>
    <d v="2025-07-03T00:00:00"/>
    <d v="2025-07-24T00:00:00"/>
    <x v="14"/>
    <n v="9"/>
    <n v="47"/>
    <n v="1862.5628195437541"/>
    <n v="1662.2202268543867"/>
    <n v="78124.350662156183"/>
    <n v="87540.452518556442"/>
    <n v="-9416.1018564002588"/>
    <n v="-674.20669294112304"/>
    <n v="-10090.308549341382"/>
    <n v="0"/>
    <n v="0"/>
    <n v="0"/>
    <n v="-10090.308549341382"/>
  </r>
  <r>
    <x v="6"/>
    <d v="2025-08-05T00:00:00"/>
    <d v="2025-08-25T00:00:00"/>
    <x v="14"/>
    <n v="9"/>
    <n v="53"/>
    <n v="1862.5628195437541"/>
    <n v="1662.2202268543867"/>
    <n v="88097.672023282503"/>
    <n v="98715.829435818974"/>
    <n v="-10618.157412536471"/>
    <n v="-760.27563246552177"/>
    <n v="-11378.433045001993"/>
    <n v="0"/>
    <n v="0"/>
    <n v="0"/>
    <n v="-11378.433045001993"/>
  </r>
  <r>
    <x v="7"/>
    <d v="2025-09-04T00:00:00"/>
    <d v="2025-09-24T00:00:00"/>
    <x v="14"/>
    <n v="9"/>
    <n v="52"/>
    <n v="1862.5628195437541"/>
    <n v="1662.2202268543867"/>
    <n v="86435.451796428111"/>
    <n v="96853.266616275214"/>
    <n v="-10417.814819847103"/>
    <n v="-745.93080921145531"/>
    <n v="-11163.745629058558"/>
    <n v="0"/>
    <n v="0"/>
    <n v="0"/>
    <n v="-11163.745629058558"/>
  </r>
  <r>
    <x v="8"/>
    <d v="2025-10-03T00:00:00"/>
    <d v="2025-10-24T00:00:00"/>
    <x v="14"/>
    <n v="9"/>
    <n v="45"/>
    <n v="1862.5628195437541"/>
    <n v="1662.2202268543867"/>
    <n v="74799.9102084474"/>
    <n v="83815.326879468936"/>
    <n v="-9015.4166710215359"/>
    <n v="-645.51704643299013"/>
    <n v="-9660.9337174545253"/>
    <n v="0"/>
    <n v="0"/>
    <n v="0"/>
    <n v="-9660.9337174545253"/>
  </r>
  <r>
    <x v="9"/>
    <d v="2025-11-05T00:00:00"/>
    <d v="2025-11-24T00:00:00"/>
    <x v="14"/>
    <n v="9"/>
    <n v="41"/>
    <n v="1862.5628195437541"/>
    <n v="1662.2202268543867"/>
    <n v="68151.029301029863"/>
    <n v="76365.075601293924"/>
    <n v="-8214.0463002640608"/>
    <n v="-588.13775341672442"/>
    <n v="-8802.1840536807849"/>
    <n v="0"/>
    <n v="0"/>
    <n v="0"/>
    <n v="-8802.1840536807849"/>
  </r>
  <r>
    <x v="10"/>
    <d v="2025-12-03T00:00:00"/>
    <d v="2025-12-24T00:00:00"/>
    <x v="14"/>
    <n v="9"/>
    <n v="29"/>
    <n v="1862.5628195437541"/>
    <n v="1662.2202268543867"/>
    <n v="48204.386578777216"/>
    <n v="54014.321766768873"/>
    <n v="-5809.9351879916576"/>
    <n v="-415.99987436792702"/>
    <n v="-6225.9350623595847"/>
    <n v="0"/>
    <n v="0"/>
    <n v="0"/>
    <n v="-6225.9350623595847"/>
  </r>
  <r>
    <x v="11"/>
    <d v="2026-01-06T00:00:00"/>
    <d v="2026-01-26T00:00:00"/>
    <x v="14"/>
    <n v="9"/>
    <n v="36"/>
    <n v="1862.5628195437541"/>
    <n v="1662.2202268543867"/>
    <n v="59839.92816675792"/>
    <n v="67052.261503575151"/>
    <n v="-7212.3333368172316"/>
    <n v="-516.41363714639215"/>
    <n v="-7728.7469739636235"/>
    <n v="0"/>
    <n v="0"/>
    <n v="0"/>
    <n v="-7728.7469739636235"/>
  </r>
  <r>
    <x v="0"/>
    <d v="2025-02-05T00:00:00"/>
    <d v="2025-02-24T00:00:00"/>
    <x v="15"/>
    <n v="9"/>
    <n v="106"/>
    <n v="1862.5628195437541"/>
    <n v="1662.2202268543867"/>
    <n v="176195.34404656501"/>
    <n v="197431.65887163795"/>
    <n v="-21236.314825072943"/>
    <n v="-1520.5512649310435"/>
    <n v="-22756.866090003987"/>
    <n v="0"/>
    <n v="0"/>
    <n v="0"/>
    <n v="-22756.866090003987"/>
  </r>
  <r>
    <x v="1"/>
    <d v="2025-03-05T00:00:00"/>
    <d v="2025-03-24T00:00:00"/>
    <x v="15"/>
    <n v="9"/>
    <n v="102"/>
    <n v="1862.5628195437541"/>
    <n v="1662.2202268543867"/>
    <n v="169546.46313914744"/>
    <n v="189981.40759346291"/>
    <n v="-20434.944454315468"/>
    <n v="-1463.1719719147777"/>
    <n v="-21898.116426230245"/>
    <n v="0"/>
    <n v="0"/>
    <n v="0"/>
    <n v="-21898.116426230245"/>
  </r>
  <r>
    <x v="2"/>
    <d v="2025-04-03T00:00:00"/>
    <d v="2025-04-24T00:00:00"/>
    <x v="15"/>
    <n v="9"/>
    <n v="100"/>
    <n v="1862.5628195437541"/>
    <n v="1662.2202268543867"/>
    <n v="166222.02268543869"/>
    <n v="186256.28195437542"/>
    <n v="-20034.25926893673"/>
    <n v="-1434.4823254066448"/>
    <n v="-21468.741594343373"/>
    <n v="0"/>
    <n v="0"/>
    <n v="0"/>
    <n v="-21468.741594343373"/>
  </r>
  <r>
    <x v="3"/>
    <d v="2025-05-05T00:00:00"/>
    <d v="2025-05-26T00:00:00"/>
    <x v="15"/>
    <n v="9"/>
    <n v="60"/>
    <n v="1862.5628195437541"/>
    <n v="1662.2202268543867"/>
    <n v="99733.2136112632"/>
    <n v="111753.76917262525"/>
    <n v="-12020.555561362053"/>
    <n v="-860.68939524398684"/>
    <n v="-12881.244956606039"/>
    <n v="0"/>
    <n v="0"/>
    <n v="0"/>
    <n v="-12881.244956606039"/>
  </r>
  <r>
    <x v="4"/>
    <d v="2025-06-04T00:00:00"/>
    <d v="2025-06-24T00:00:00"/>
    <x v="15"/>
    <n v="9"/>
    <n v="96"/>
    <n v="1862.5628195437541"/>
    <n v="1662.2202268543867"/>
    <n v="159573.14177802112"/>
    <n v="178806.0306762004"/>
    <n v="-19232.888898179284"/>
    <n v="-1377.1030323903792"/>
    <n v="-20609.991930569664"/>
    <n v="0"/>
    <n v="0"/>
    <n v="0"/>
    <n v="-20609.991930569664"/>
  </r>
  <r>
    <x v="5"/>
    <d v="2025-07-03T00:00:00"/>
    <d v="2025-07-24T00:00:00"/>
    <x v="15"/>
    <n v="9"/>
    <n v="119"/>
    <n v="1862.5628195437541"/>
    <n v="1662.2202268543867"/>
    <n v="197804.20699567202"/>
    <n v="221644.97552570674"/>
    <n v="-23840.768530034722"/>
    <n v="-1707.0339672339071"/>
    <n v="-25547.802497268629"/>
    <n v="0"/>
    <n v="0"/>
    <n v="0"/>
    <n v="-25547.802497268629"/>
  </r>
  <r>
    <x v="6"/>
    <d v="2025-08-05T00:00:00"/>
    <d v="2025-08-25T00:00:00"/>
    <x v="15"/>
    <n v="9"/>
    <n v="118"/>
    <n v="1862.5628195437541"/>
    <n v="1662.2202268543867"/>
    <n v="196141.98676881765"/>
    <n v="219782.41270616298"/>
    <n v="-23640.425937345339"/>
    <n v="-1692.689143979841"/>
    <n v="-25333.115081325181"/>
    <n v="0"/>
    <n v="0"/>
    <n v="0"/>
    <n v="-25333.115081325181"/>
  </r>
  <r>
    <x v="7"/>
    <d v="2025-09-04T00:00:00"/>
    <d v="2025-09-24T00:00:00"/>
    <x v="15"/>
    <n v="9"/>
    <n v="119"/>
    <n v="1862.5628195437541"/>
    <n v="1662.2202268543867"/>
    <n v="197804.20699567202"/>
    <n v="221644.97552570674"/>
    <n v="-23840.768530034722"/>
    <n v="-1707.0339672339071"/>
    <n v="-25547.802497268629"/>
    <n v="0"/>
    <n v="0"/>
    <n v="0"/>
    <n v="-25547.802497268629"/>
  </r>
  <r>
    <x v="8"/>
    <d v="2025-10-03T00:00:00"/>
    <d v="2025-10-24T00:00:00"/>
    <x v="15"/>
    <n v="9"/>
    <n v="101"/>
    <n v="1862.5628195437541"/>
    <n v="1662.2202268543867"/>
    <n v="167884.24291229306"/>
    <n v="188118.84477391918"/>
    <n v="-20234.601861626114"/>
    <n v="-1448.8271486607111"/>
    <n v="-21683.429010286825"/>
    <n v="0"/>
    <n v="0"/>
    <n v="0"/>
    <n v="-21683.429010286825"/>
  </r>
  <r>
    <x v="9"/>
    <d v="2025-11-05T00:00:00"/>
    <d v="2025-11-24T00:00:00"/>
    <x v="15"/>
    <n v="9"/>
    <n v="106"/>
    <n v="1862.5628195437541"/>
    <n v="1662.2202268543867"/>
    <n v="176195.34404656501"/>
    <n v="197431.65887163795"/>
    <n v="-21236.314825072943"/>
    <n v="-1520.5512649310435"/>
    <n v="-22756.866090003987"/>
    <n v="0"/>
    <n v="0"/>
    <n v="0"/>
    <n v="-22756.866090003987"/>
  </r>
  <r>
    <x v="10"/>
    <d v="2025-12-03T00:00:00"/>
    <d v="2025-12-24T00:00:00"/>
    <x v="15"/>
    <n v="9"/>
    <n v="35"/>
    <n v="1862.5628195437541"/>
    <n v="1662.2202268543867"/>
    <n v="58177.707939903536"/>
    <n v="65189.698684031391"/>
    <n v="-7011.9907441278556"/>
    <n v="-502.06881389232569"/>
    <n v="-7514.0595580201816"/>
    <n v="0"/>
    <n v="0"/>
    <n v="0"/>
    <n v="-7514.0595580201816"/>
  </r>
  <r>
    <x v="11"/>
    <d v="2026-01-06T00:00:00"/>
    <d v="2026-01-26T00:00:00"/>
    <x v="15"/>
    <n v="9"/>
    <n v="103"/>
    <n v="1862.5628195437541"/>
    <n v="1662.2202268543867"/>
    <n v="171208.68336600185"/>
    <n v="191843.97041300667"/>
    <n v="-20635.287047004822"/>
    <n v="-1477.5167951688443"/>
    <n v="-22112.803842173667"/>
    <n v="0"/>
    <n v="0"/>
    <n v="0"/>
    <n v="-22112.8038421736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2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C25" sqref="C25"/>
    </sheetView>
  </sheetViews>
  <sheetFormatPr defaultColWidth="8.7109375" defaultRowHeight="12.75" x14ac:dyDescent="0.2"/>
  <sheetData>
    <row r="1" spans="1:2" x14ac:dyDescent="0.2">
      <c r="A1" t="s">
        <v>65</v>
      </c>
    </row>
    <row r="3" spans="1:2" x14ac:dyDescent="0.2">
      <c r="A3">
        <v>1</v>
      </c>
      <c r="B3" s="1" t="s">
        <v>67</v>
      </c>
    </row>
    <row r="4" spans="1:2" x14ac:dyDescent="0.2">
      <c r="A4">
        <v>2</v>
      </c>
      <c r="B4" s="1" t="s">
        <v>66</v>
      </c>
    </row>
    <row r="5" spans="1:2" x14ac:dyDescent="0.2">
      <c r="A5">
        <v>3</v>
      </c>
      <c r="B5" s="1" t="s">
        <v>68</v>
      </c>
    </row>
    <row r="6" spans="1:2" x14ac:dyDescent="0.2">
      <c r="A6">
        <v>4</v>
      </c>
      <c r="B6" s="2" t="s">
        <v>82</v>
      </c>
    </row>
    <row r="7" spans="1:2" x14ac:dyDescent="0.2">
      <c r="A7">
        <v>5</v>
      </c>
      <c r="B7" s="1" t="s">
        <v>69</v>
      </c>
    </row>
    <row r="8" spans="1:2" x14ac:dyDescent="0.2">
      <c r="A8">
        <v>6</v>
      </c>
      <c r="B8" s="1" t="s">
        <v>70</v>
      </c>
    </row>
    <row r="9" spans="1:2" x14ac:dyDescent="0.2">
      <c r="A9">
        <v>7</v>
      </c>
      <c r="B9" s="3" t="s">
        <v>71</v>
      </c>
    </row>
    <row r="10" spans="1:2" x14ac:dyDescent="0.2">
      <c r="A10">
        <v>8</v>
      </c>
      <c r="B10" s="1" t="s">
        <v>74</v>
      </c>
    </row>
    <row r="11" spans="1:2" x14ac:dyDescent="0.2">
      <c r="B11" s="1" t="s">
        <v>75</v>
      </c>
    </row>
    <row r="12" spans="1:2" x14ac:dyDescent="0.2">
      <c r="B12" s="3" t="s">
        <v>76</v>
      </c>
    </row>
    <row r="13" spans="1:2" x14ac:dyDescent="0.2">
      <c r="B13" s="3" t="s">
        <v>77</v>
      </c>
    </row>
    <row r="14" spans="1:2" x14ac:dyDescent="0.2">
      <c r="A14">
        <v>9</v>
      </c>
      <c r="B14" s="1" t="s">
        <v>78</v>
      </c>
    </row>
    <row r="15" spans="1:2" x14ac:dyDescent="0.2">
      <c r="A15">
        <v>10</v>
      </c>
      <c r="B15" s="1" t="s">
        <v>80</v>
      </c>
    </row>
    <row r="16" spans="1:2" x14ac:dyDescent="0.2">
      <c r="A16">
        <v>11</v>
      </c>
      <c r="B16" s="1" t="s">
        <v>81</v>
      </c>
    </row>
  </sheetData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A57A-EE43-448F-BDFB-C3C880068082}">
  <dimension ref="A1:E22"/>
  <sheetViews>
    <sheetView tabSelected="1" zoomScaleNormal="100" workbookViewId="0">
      <selection activeCell="C35" sqref="C35"/>
    </sheetView>
  </sheetViews>
  <sheetFormatPr defaultColWidth="8.7109375" defaultRowHeight="12.75" x14ac:dyDescent="0.2"/>
  <cols>
    <col min="1" max="1" width="51.5703125" style="194" bestFit="1" customWidth="1"/>
    <col min="2" max="2" width="6.5703125" style="194" bestFit="1" customWidth="1"/>
    <col min="3" max="3" width="14.28515625" style="194" bestFit="1" customWidth="1"/>
    <col min="4" max="4" width="12.85546875" style="194" bestFit="1" customWidth="1"/>
    <col min="5" max="5" width="13.7109375" style="194" bestFit="1" customWidth="1"/>
    <col min="6" max="16384" width="8.7109375" style="194"/>
  </cols>
  <sheetData>
    <row r="1" spans="1:5" x14ac:dyDescent="0.2">
      <c r="C1" s="194" t="s">
        <v>100</v>
      </c>
      <c r="D1" s="194" t="s">
        <v>101</v>
      </c>
      <c r="E1" s="194" t="s">
        <v>99</v>
      </c>
    </row>
    <row r="2" spans="1:5" ht="38.25" x14ac:dyDescent="0.2">
      <c r="A2" s="194" t="s">
        <v>104</v>
      </c>
      <c r="B2" s="211" t="s">
        <v>102</v>
      </c>
      <c r="C2" s="195">
        <v>-9082766.6383517273</v>
      </c>
      <c r="D2" s="195">
        <v>-4327.8885414895776</v>
      </c>
      <c r="E2" s="196">
        <f>C2+D2</f>
        <v>-9087094.5268932171</v>
      </c>
    </row>
    <row r="3" spans="1:5" ht="13.5" thickBot="1" x14ac:dyDescent="0.25"/>
    <row r="4" spans="1:5" x14ac:dyDescent="0.2">
      <c r="A4" s="197" t="s">
        <v>14</v>
      </c>
      <c r="B4" s="198">
        <f>0.074+0.018</f>
        <v>9.1999999999999998E-2</v>
      </c>
      <c r="C4" s="196">
        <f>$C$2*B4</f>
        <v>-835614.53072835889</v>
      </c>
      <c r="D4" s="196">
        <f>$D$2*B4</f>
        <v>-398.16574581704111</v>
      </c>
      <c r="E4" s="196">
        <f t="shared" ref="E4:E20" si="0">C4+D4</f>
        <v>-836012.6964741759</v>
      </c>
    </row>
    <row r="5" spans="1:5" x14ac:dyDescent="0.2">
      <c r="A5" s="199" t="s">
        <v>87</v>
      </c>
      <c r="B5" s="200">
        <v>5.0000000000000001E-3</v>
      </c>
      <c r="C5" s="196">
        <f t="shared" ref="C5:C16" si="1">$C$2*B5</f>
        <v>-45413.83319175864</v>
      </c>
      <c r="D5" s="196">
        <f t="shared" ref="D5:D16" si="2">$D$2*B5</f>
        <v>-21.639442707447888</v>
      </c>
      <c r="E5" s="196">
        <f t="shared" si="0"/>
        <v>-45435.472634466088</v>
      </c>
    </row>
    <row r="6" spans="1:5" x14ac:dyDescent="0.2">
      <c r="A6" s="199" t="s">
        <v>56</v>
      </c>
      <c r="B6" s="200">
        <v>1.4999999999999999E-2</v>
      </c>
      <c r="C6" s="196">
        <f t="shared" si="1"/>
        <v>-136241.4995752759</v>
      </c>
      <c r="D6" s="196">
        <f t="shared" si="2"/>
        <v>-64.918328122343667</v>
      </c>
      <c r="E6" s="196">
        <f t="shared" si="0"/>
        <v>-136306.41790339825</v>
      </c>
    </row>
    <row r="7" spans="1:5" x14ac:dyDescent="0.2">
      <c r="A7" s="201" t="s">
        <v>17</v>
      </c>
      <c r="B7" s="198">
        <v>1.2999999999999999E-2</v>
      </c>
      <c r="C7" s="196">
        <f t="shared" si="1"/>
        <v>-118075.96629857244</v>
      </c>
      <c r="D7" s="196">
        <f t="shared" si="2"/>
        <v>-56.262551039364503</v>
      </c>
      <c r="E7" s="196">
        <f t="shared" si="0"/>
        <v>-118132.22884961181</v>
      </c>
    </row>
    <row r="8" spans="1:5" x14ac:dyDescent="0.2">
      <c r="A8" s="199" t="s">
        <v>13</v>
      </c>
      <c r="B8" s="200">
        <v>0.10199999999999999</v>
      </c>
      <c r="C8" s="196">
        <f t="shared" si="1"/>
        <v>-926442.1971118761</v>
      </c>
      <c r="D8" s="196">
        <f t="shared" si="2"/>
        <v>-441.44463123193691</v>
      </c>
      <c r="E8" s="196">
        <f t="shared" si="0"/>
        <v>-926883.64174310805</v>
      </c>
    </row>
    <row r="9" spans="1:5" x14ac:dyDescent="0.2">
      <c r="A9" s="201" t="s">
        <v>15</v>
      </c>
      <c r="B9" s="198">
        <v>1E-3</v>
      </c>
      <c r="C9" s="196">
        <f t="shared" si="1"/>
        <v>-9082.766638351728</v>
      </c>
      <c r="D9" s="196">
        <f t="shared" si="2"/>
        <v>-4.3278885414895774</v>
      </c>
      <c r="E9" s="196">
        <f t="shared" si="0"/>
        <v>-9087.0945268932173</v>
      </c>
    </row>
    <row r="10" spans="1:5" x14ac:dyDescent="0.2">
      <c r="A10" s="201" t="s">
        <v>59</v>
      </c>
      <c r="B10" s="198">
        <v>5.0000000000000001E-3</v>
      </c>
      <c r="C10" s="196">
        <f t="shared" si="1"/>
        <v>-45413.83319175864</v>
      </c>
      <c r="D10" s="196">
        <f t="shared" si="2"/>
        <v>-21.639442707447888</v>
      </c>
      <c r="E10" s="196">
        <f t="shared" si="0"/>
        <v>-45435.472634466088</v>
      </c>
    </row>
    <row r="11" spans="1:5" x14ac:dyDescent="0.2">
      <c r="A11" s="201" t="s">
        <v>16</v>
      </c>
      <c r="B11" s="198">
        <v>0</v>
      </c>
      <c r="C11" s="196">
        <f t="shared" si="1"/>
        <v>0</v>
      </c>
      <c r="D11" s="196">
        <f t="shared" si="2"/>
        <v>0</v>
      </c>
      <c r="E11" s="196">
        <f t="shared" si="0"/>
        <v>0</v>
      </c>
    </row>
    <row r="12" spans="1:5" x14ac:dyDescent="0.2">
      <c r="A12" s="199" t="s">
        <v>58</v>
      </c>
      <c r="B12" s="200">
        <v>3.0000000000000001E-3</v>
      </c>
      <c r="C12" s="196">
        <f t="shared" si="1"/>
        <v>-27248.299915055184</v>
      </c>
      <c r="D12" s="196">
        <f t="shared" si="2"/>
        <v>-12.983665624468733</v>
      </c>
      <c r="E12" s="196">
        <f t="shared" si="0"/>
        <v>-27261.283580679654</v>
      </c>
    </row>
    <row r="13" spans="1:5" x14ac:dyDescent="0.2">
      <c r="A13" s="199" t="s">
        <v>19</v>
      </c>
      <c r="B13" s="200">
        <f>0.003+0.002</f>
        <v>5.0000000000000001E-3</v>
      </c>
      <c r="C13" s="196">
        <f t="shared" si="1"/>
        <v>-45413.83319175864</v>
      </c>
      <c r="D13" s="196">
        <f t="shared" si="2"/>
        <v>-21.639442707447888</v>
      </c>
      <c r="E13" s="196">
        <f t="shared" si="0"/>
        <v>-45435.472634466088</v>
      </c>
    </row>
    <row r="14" spans="1:5" x14ac:dyDescent="0.2">
      <c r="A14" s="201" t="s">
        <v>8</v>
      </c>
      <c r="B14" s="198">
        <v>1.2999999999999999E-2</v>
      </c>
      <c r="C14" s="196">
        <f t="shared" si="1"/>
        <v>-118075.96629857244</v>
      </c>
      <c r="D14" s="196">
        <f t="shared" si="2"/>
        <v>-56.262551039364503</v>
      </c>
      <c r="E14" s="196">
        <f t="shared" si="0"/>
        <v>-118132.22884961181</v>
      </c>
    </row>
    <row r="15" spans="1:5" x14ac:dyDescent="0.2">
      <c r="A15" s="201" t="s">
        <v>57</v>
      </c>
      <c r="B15" s="198">
        <v>1E-3</v>
      </c>
      <c r="C15" s="196">
        <f t="shared" si="1"/>
        <v>-9082.766638351728</v>
      </c>
      <c r="D15" s="196">
        <f t="shared" si="2"/>
        <v>-4.3278885414895774</v>
      </c>
      <c r="E15" s="196">
        <f t="shared" si="0"/>
        <v>-9087.0945268932173</v>
      </c>
    </row>
    <row r="16" spans="1:5" x14ac:dyDescent="0.2">
      <c r="A16" s="202" t="s">
        <v>9</v>
      </c>
      <c r="B16" s="198">
        <v>5.0000000000000001E-3</v>
      </c>
      <c r="C16" s="196">
        <f t="shared" si="1"/>
        <v>-45413.83319175864</v>
      </c>
      <c r="D16" s="196">
        <f t="shared" si="2"/>
        <v>-21.639442707447888</v>
      </c>
      <c r="E16" s="196">
        <f t="shared" si="0"/>
        <v>-45435.472634466088</v>
      </c>
    </row>
    <row r="17" spans="1:5" ht="24" x14ac:dyDescent="0.2">
      <c r="A17" s="203" t="s">
        <v>44</v>
      </c>
      <c r="B17" s="204"/>
      <c r="C17" s="205">
        <f>SUM(C4:C16)</f>
        <v>-2361519.3259714488</v>
      </c>
      <c r="D17" s="205">
        <f>SUM(D4:D16)</f>
        <v>-1125.2510207872901</v>
      </c>
      <c r="E17" s="205">
        <f>SUM(E4:E16)</f>
        <v>-2362644.5769922356</v>
      </c>
    </row>
    <row r="18" spans="1:5" x14ac:dyDescent="0.2">
      <c r="A18" s="206" t="s">
        <v>21</v>
      </c>
      <c r="B18" s="200">
        <v>0.37</v>
      </c>
      <c r="C18" s="196">
        <f>$C$2*B18</f>
        <v>-3360623.6561901392</v>
      </c>
      <c r="D18" s="196">
        <f>$D$2*B18</f>
        <v>-1601.3187603511437</v>
      </c>
      <c r="E18" s="196">
        <f t="shared" si="0"/>
        <v>-3362224.9749504905</v>
      </c>
    </row>
    <row r="19" spans="1:5" x14ac:dyDescent="0.2">
      <c r="A19" s="201" t="s">
        <v>22</v>
      </c>
      <c r="B19" s="198">
        <v>0.35399999999999998</v>
      </c>
      <c r="C19" s="196">
        <f t="shared" ref="C19:C20" si="3">$C$2*B19</f>
        <v>-3215299.3899765112</v>
      </c>
      <c r="D19" s="196">
        <f t="shared" ref="D19:D20" si="4">$D$2*B19</f>
        <v>-1532.0725436873104</v>
      </c>
      <c r="E19" s="196">
        <f t="shared" si="0"/>
        <v>-3216831.4625201984</v>
      </c>
    </row>
    <row r="20" spans="1:5" x14ac:dyDescent="0.2">
      <c r="A20" s="202" t="s">
        <v>83</v>
      </c>
      <c r="B20" s="198">
        <v>1.6E-2</v>
      </c>
      <c r="C20" s="196">
        <f t="shared" si="3"/>
        <v>-145324.26621362765</v>
      </c>
      <c r="D20" s="196">
        <f t="shared" si="4"/>
        <v>-69.246216663833238</v>
      </c>
      <c r="E20" s="196">
        <f t="shared" si="0"/>
        <v>-145393.51243029148</v>
      </c>
    </row>
    <row r="21" spans="1:5" ht="24" x14ac:dyDescent="0.2">
      <c r="A21" s="203" t="s">
        <v>53</v>
      </c>
      <c r="B21" s="207"/>
      <c r="C21" s="208">
        <f>SUM(C18:C20)</f>
        <v>-6721247.3123802785</v>
      </c>
      <c r="D21" s="208">
        <f>SUM(D18:D20)</f>
        <v>-3202.6375207022875</v>
      </c>
      <c r="E21" s="208">
        <f>SUM(E18:E20)</f>
        <v>-6724449.949900981</v>
      </c>
    </row>
    <row r="22" spans="1:5" ht="13.5" thickBot="1" x14ac:dyDescent="0.25">
      <c r="A22" s="209" t="s">
        <v>45</v>
      </c>
      <c r="B22" s="210"/>
      <c r="C22" s="196">
        <f>C17+C21</f>
        <v>-9082766.6383517273</v>
      </c>
      <c r="D22" s="196">
        <f>D17+D21</f>
        <v>-4327.8885414895776</v>
      </c>
      <c r="E22" s="196">
        <f>E17+E21</f>
        <v>-9087094.5268932171</v>
      </c>
    </row>
  </sheetData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5"/>
  <sheetViews>
    <sheetView zoomScale="85" zoomScaleNormal="85" zoomScaleSheetLayoutView="100" workbookViewId="0">
      <selection activeCell="C40" sqref="C40"/>
    </sheetView>
  </sheetViews>
  <sheetFormatPr defaultColWidth="33.28515625" defaultRowHeight="12.75" x14ac:dyDescent="0.2"/>
  <cols>
    <col min="1" max="1" width="9.140625" customWidth="1"/>
    <col min="2" max="2" width="14" customWidth="1"/>
    <col min="3" max="3" width="21.85546875" customWidth="1"/>
    <col min="4" max="4" width="16" bestFit="1" customWidth="1"/>
    <col min="5" max="5" width="19.42578125" customWidth="1"/>
    <col min="6" max="14" width="14" customWidth="1"/>
    <col min="15" max="15" width="15" customWidth="1"/>
    <col min="16" max="108" width="31.7109375" customWidth="1"/>
    <col min="109" max="109" width="11.42578125" customWidth="1"/>
  </cols>
  <sheetData>
    <row r="1" spans="2:17" x14ac:dyDescent="0.2">
      <c r="C1" s="239" t="str">
        <f>+Transactions!B1</f>
        <v>AEPTCo Formula Rate -- FERC Docket ER18-194</v>
      </c>
      <c r="D1" s="239"/>
      <c r="E1" s="239"/>
      <c r="F1" s="239"/>
      <c r="G1" s="239"/>
      <c r="H1" s="239"/>
      <c r="I1" s="239"/>
      <c r="J1" s="4">
        <v>2025</v>
      </c>
    </row>
    <row r="2" spans="2:17" x14ac:dyDescent="0.2">
      <c r="C2" s="239" t="s">
        <v>36</v>
      </c>
      <c r="D2" s="239"/>
      <c r="E2" s="239"/>
      <c r="F2" s="239"/>
      <c r="G2" s="239"/>
      <c r="H2" s="239"/>
      <c r="I2" s="239"/>
    </row>
    <row r="3" spans="2:17" x14ac:dyDescent="0.2">
      <c r="C3" s="239" t="str">
        <f>"for period 01/01/"&amp;F8&amp;" - 12/31/"&amp;F8</f>
        <v>for period 01/01/2025 - 12/31/2025</v>
      </c>
      <c r="D3" s="239"/>
      <c r="E3" s="239"/>
      <c r="F3" s="239"/>
      <c r="G3" s="239"/>
      <c r="H3" s="239"/>
      <c r="I3" s="239"/>
    </row>
    <row r="4" spans="2:17" x14ac:dyDescent="0.2">
      <c r="C4" s="239" t="s">
        <v>85</v>
      </c>
      <c r="D4" s="239"/>
      <c r="E4" s="239"/>
      <c r="F4" s="239"/>
      <c r="G4" s="239"/>
      <c r="H4" s="239"/>
      <c r="I4" s="239"/>
    </row>
    <row r="5" spans="2:17" x14ac:dyDescent="0.2">
      <c r="C5" s="5" t="str">
        <f>"Prepared:  May 22_, "&amp;J1&amp;""</f>
        <v>Prepared:  May 22_, 2025</v>
      </c>
      <c r="D5" s="6"/>
    </row>
    <row r="6" spans="2:17" x14ac:dyDescent="0.2">
      <c r="C6" s="7"/>
    </row>
    <row r="7" spans="2:17" x14ac:dyDescent="0.2">
      <c r="C7" s="8"/>
    </row>
    <row r="8" spans="2:17" ht="27.75" customHeight="1" thickBot="1" x14ac:dyDescent="0.25">
      <c r="F8" s="9">
        <v>2025</v>
      </c>
    </row>
    <row r="9" spans="2:17" ht="20.25" customHeight="1" x14ac:dyDescent="0.2">
      <c r="E9" s="10" t="s">
        <v>97</v>
      </c>
      <c r="F9" s="11"/>
      <c r="G9" s="12"/>
      <c r="H9" s="13"/>
    </row>
    <row r="10" spans="2:17" ht="42" customHeight="1" thickBot="1" x14ac:dyDescent="0.25">
      <c r="B10" s="14"/>
      <c r="E10" s="15" t="str">
        <f>"(per "&amp;$F8&amp;" Projections "&amp;$F8&amp;")"</f>
        <v>(per 2025 Projections 2025)</v>
      </c>
      <c r="F10" s="16" t="str">
        <f>"(per "&amp;F8+1&amp;" Update of May "&amp;F8+1&amp;")"</f>
        <v>(per 2026 Update of May 2026)</v>
      </c>
      <c r="G10" s="17"/>
      <c r="H10" s="16"/>
    </row>
    <row r="11" spans="2:17" ht="21.75" customHeight="1" x14ac:dyDescent="0.2">
      <c r="B11" s="18"/>
      <c r="C11" s="19" t="s">
        <v>39</v>
      </c>
      <c r="D11" s="20" t="s">
        <v>37</v>
      </c>
      <c r="E11" s="21">
        <f>Transactions!K2</f>
        <v>192888868.15477073</v>
      </c>
      <c r="F11" s="22"/>
      <c r="G11" s="23"/>
      <c r="H11" s="24"/>
    </row>
    <row r="12" spans="2:17" ht="21.75" customHeight="1" x14ac:dyDescent="0.2">
      <c r="B12" s="18"/>
      <c r="C12" s="25"/>
      <c r="D12" s="26" t="s">
        <v>43</v>
      </c>
      <c r="E12" s="27"/>
      <c r="F12" s="28">
        <f>+Transactions!J2</f>
        <v>175984242.07775447</v>
      </c>
      <c r="G12" s="29"/>
      <c r="H12" s="30"/>
    </row>
    <row r="13" spans="2:17" ht="21.75" customHeight="1" x14ac:dyDescent="0.2">
      <c r="B13" s="31"/>
      <c r="C13" s="32" t="s">
        <v>40</v>
      </c>
      <c r="D13" s="33" t="s">
        <v>38</v>
      </c>
      <c r="E13" s="34">
        <f>Transactions!K3</f>
        <v>1862.5628195437541</v>
      </c>
      <c r="F13" s="30"/>
      <c r="G13" s="35"/>
      <c r="H13" s="36"/>
    </row>
    <row r="14" spans="2:17" ht="21.75" customHeight="1" thickBot="1" x14ac:dyDescent="0.25">
      <c r="B14" s="14"/>
      <c r="C14" s="37"/>
      <c r="D14" s="38" t="s">
        <v>42</v>
      </c>
      <c r="E14" s="39"/>
      <c r="F14" s="40">
        <f>+Transactions!J3</f>
        <v>1662.2202268543867</v>
      </c>
      <c r="G14" s="41"/>
      <c r="H14" s="30"/>
    </row>
    <row r="15" spans="2:17" x14ac:dyDescent="0.2">
      <c r="B15" s="18"/>
    </row>
    <row r="16" spans="2:17" x14ac:dyDescent="0.2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x14ac:dyDescent="0.2">
      <c r="C17" s="8"/>
      <c r="L17" s="1"/>
      <c r="M17" s="46"/>
      <c r="N17" s="46"/>
      <c r="O17" s="46"/>
      <c r="P17" s="46"/>
      <c r="Q17" s="46"/>
    </row>
    <row r="18" spans="2:17" x14ac:dyDescent="0.2">
      <c r="M18" s="46"/>
      <c r="N18" s="46"/>
      <c r="O18" s="46"/>
      <c r="P18" s="46"/>
      <c r="Q18" s="46"/>
    </row>
    <row r="19" spans="2:17" ht="21" customHeight="1" thickBot="1" x14ac:dyDescent="0.25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96</v>
      </c>
      <c r="I19" s="48" t="s">
        <v>95</v>
      </c>
      <c r="M19" s="46"/>
      <c r="N19" s="46"/>
      <c r="O19" s="46"/>
      <c r="P19" s="46"/>
      <c r="Q19" s="46"/>
    </row>
    <row r="20" spans="2:17" ht="53.25" customHeight="1" x14ac:dyDescent="0.2">
      <c r="C20" s="49" t="s">
        <v>52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41</v>
      </c>
      <c r="G20" s="52" t="s">
        <v>7</v>
      </c>
      <c r="H20" s="52" t="s">
        <v>105</v>
      </c>
      <c r="I20" s="53" t="s">
        <v>46</v>
      </c>
      <c r="M20" s="46"/>
      <c r="N20" s="46"/>
      <c r="O20" s="46"/>
      <c r="P20" s="46"/>
      <c r="Q20" s="46"/>
    </row>
    <row r="21" spans="2:17" x14ac:dyDescent="0.2">
      <c r="B21" s="54"/>
      <c r="C21" s="55" t="s">
        <v>14</v>
      </c>
      <c r="D21" s="56">
        <f>GETPIVOTDATA("Sum of "&amp;T(Transactions!$J$19),Pivot!$A$3,"Customer",C21)</f>
        <v>17031108.444350045</v>
      </c>
      <c r="E21" s="56">
        <f>GETPIVOTDATA("Sum of "&amp;T(Transactions!$K$19),Pivot!$A$3,"Customer",C21)</f>
        <v>19083818.649045307</v>
      </c>
      <c r="F21" s="56">
        <f>D21-E21</f>
        <v>-2052710.204695262</v>
      </c>
      <c r="G21" s="46">
        <f>+GETPIVOTDATA("Sum of "&amp;T(Transactions!$M$19),Pivot!$A$3,"Customer","AECC")</f>
        <v>-146977.05906116485</v>
      </c>
      <c r="H21" s="46">
        <f>-'2025 NOLC Refund Detail'!C4</f>
        <v>835614.53072835889</v>
      </c>
      <c r="I21" s="57">
        <f>F21+G21+H21</f>
        <v>-1364072.7330280682</v>
      </c>
      <c r="J21" s="54"/>
      <c r="M21" s="46"/>
      <c r="N21" s="46"/>
      <c r="O21" s="46"/>
      <c r="P21" s="46"/>
      <c r="Q21" s="46"/>
    </row>
    <row r="22" spans="2:17" x14ac:dyDescent="0.2">
      <c r="B22" s="54"/>
      <c r="C22" s="58" t="s">
        <v>87</v>
      </c>
      <c r="D22" s="56">
        <f>GETPIVOTDATA("Sum of "&amp;T(Transactions!$J$19),Pivot!$A$3,"Customer",C22)</f>
        <v>852718.97637630044</v>
      </c>
      <c r="E22" s="56">
        <f>GETPIVOTDATA("Sum of "&amp;T(Transactions!$K$19),Pivot!$A$3,"Customer",C22)</f>
        <v>955494.72642594588</v>
      </c>
      <c r="F22" s="56">
        <f>D22-E22</f>
        <v>-102775.75004964543</v>
      </c>
      <c r="G22" s="46">
        <f>+GETPIVOTDATA("Sum of "&amp;T(Transactions!$M$19),Pivot!$A$3,"Customer","AECI")</f>
        <v>-7358.894329336088</v>
      </c>
      <c r="H22" s="46">
        <f>-'2025 NOLC Refund Detail'!C5</f>
        <v>45413.83319175864</v>
      </c>
      <c r="I22" s="57">
        <f t="shared" ref="I22:I33" si="0">F22+G22+H22</f>
        <v>-64720.811187222884</v>
      </c>
      <c r="J22" s="54"/>
      <c r="M22" s="46"/>
      <c r="N22" s="46"/>
      <c r="O22" s="46"/>
      <c r="P22" s="46"/>
      <c r="Q22" s="46"/>
    </row>
    <row r="23" spans="2:17" x14ac:dyDescent="0.2">
      <c r="B23" s="54"/>
      <c r="C23" s="58" t="s">
        <v>56</v>
      </c>
      <c r="D23" s="56">
        <f>GETPIVOTDATA("Sum of "&amp;T(Transactions!$J$19),Pivot!$A$3,"Customer",C23)</f>
        <v>2868992.1115506715</v>
      </c>
      <c r="E23" s="56">
        <f>GETPIVOTDATA("Sum of "&amp;T(Transactions!$K$19),Pivot!$A$3,"Customer",C23)</f>
        <v>3214783.4265325195</v>
      </c>
      <c r="F23" s="56">
        <f t="shared" ref="F23:F35" si="1">D23-E23</f>
        <v>-345791.314981848</v>
      </c>
      <c r="G23" s="46">
        <f>+GETPIVOTDATA("Sum of "&amp;T(Transactions!$M$19),Pivot!$A$3,"Customer","Bentonville, AR")</f>
        <v>-24759.16493651869</v>
      </c>
      <c r="H23" s="46">
        <f>-'2025 NOLC Refund Detail'!C6</f>
        <v>136241.4995752759</v>
      </c>
      <c r="I23" s="57">
        <f t="shared" si="0"/>
        <v>-234308.98034309081</v>
      </c>
      <c r="J23" s="54"/>
      <c r="M23" s="46"/>
      <c r="N23" s="46"/>
      <c r="O23" s="46"/>
      <c r="P23" s="46"/>
      <c r="Q23" s="46"/>
    </row>
    <row r="24" spans="2:17" x14ac:dyDescent="0.2">
      <c r="B24" s="54"/>
      <c r="C24" s="55" t="s">
        <v>17</v>
      </c>
      <c r="D24" s="56">
        <f>GETPIVOTDATA("Sum of "&amp;T(Transactions!$J$19),Pivot!$A$3,"Customer",C24)</f>
        <v>1936486.5642853605</v>
      </c>
      <c r="E24" s="56">
        <f>GETPIVOTDATA("Sum of "&amp;T(Transactions!$K$19),Pivot!$A$3,"Customer",C24)</f>
        <v>2169885.6847684737</v>
      </c>
      <c r="F24" s="56">
        <f t="shared" si="1"/>
        <v>-233399.12048311322</v>
      </c>
      <c r="G24" s="46">
        <f>+GETPIVOTDATA("Sum of "&amp;T(Transactions!$M$19),Pivot!$A$3,"Customer","Coffeyville, KS")</f>
        <v>-16711.719090987412</v>
      </c>
      <c r="H24" s="46">
        <f>-'2025 NOLC Refund Detail'!C7</f>
        <v>118075.96629857244</v>
      </c>
      <c r="I24" s="57">
        <f t="shared" si="0"/>
        <v>-132034.8732755282</v>
      </c>
      <c r="J24" s="54"/>
      <c r="M24" s="46"/>
      <c r="N24" s="46"/>
      <c r="O24" s="46"/>
      <c r="P24" s="46"/>
      <c r="Q24" s="46"/>
    </row>
    <row r="25" spans="2:17" x14ac:dyDescent="0.2">
      <c r="B25" s="54"/>
      <c r="C25" s="58" t="s">
        <v>13</v>
      </c>
      <c r="D25" s="56">
        <f>GETPIVOTDATA("Sum of "&amp;T(Transactions!$J$19),Pivot!$A$3,"Customer",C25)</f>
        <v>18405764.571958624</v>
      </c>
      <c r="E25" s="56">
        <f>GETPIVOTDATA("Sum of "&amp;T(Transactions!$K$19),Pivot!$A$3,"Customer",C25)</f>
        <v>20624158.100807987</v>
      </c>
      <c r="F25" s="56">
        <f t="shared" si="1"/>
        <v>-2218393.5288493633</v>
      </c>
      <c r="G25" s="46">
        <f>+GETPIVOTDATA("Sum of "&amp;T(Transactions!$M$19),Pivot!$A$3,"Customer","ETEC")</f>
        <v>-158840.22789227773</v>
      </c>
      <c r="H25" s="46">
        <f>-'2025 NOLC Refund Detail'!C8</f>
        <v>926442.1971118761</v>
      </c>
      <c r="I25" s="57">
        <f t="shared" si="0"/>
        <v>-1450791.5596297649</v>
      </c>
      <c r="J25" s="54"/>
      <c r="L25" s="1"/>
      <c r="M25" s="46"/>
      <c r="N25" s="46"/>
      <c r="O25" s="46"/>
      <c r="P25" s="46"/>
      <c r="Q25" s="46"/>
    </row>
    <row r="26" spans="2:17" x14ac:dyDescent="0.2">
      <c r="B26" s="54"/>
      <c r="C26" s="55" t="s">
        <v>15</v>
      </c>
      <c r="D26" s="56">
        <f>GETPIVOTDATA("Sum of "&amp;T(Transactions!$J$19),Pivot!$A$3,"Customer",C26)</f>
        <v>169546.46313914744</v>
      </c>
      <c r="E26" s="56">
        <f>GETPIVOTDATA("Sum of "&amp;T(Transactions!$K$19),Pivot!$A$3,"Customer",C26)</f>
        <v>189981.40759346291</v>
      </c>
      <c r="F26" s="56">
        <f t="shared" si="1"/>
        <v>-20434.944454315468</v>
      </c>
      <c r="G26" s="46">
        <f>+GETPIVOTDATA("Sum of "&amp;T(Transactions!$M$19),Pivot!$A$3,"Customer","Greenbelt")</f>
        <v>-1463.1719719147777</v>
      </c>
      <c r="H26" s="46">
        <f>-'2025 NOLC Refund Detail'!C9</f>
        <v>9082.766638351728</v>
      </c>
      <c r="I26" s="57">
        <f t="shared" si="0"/>
        <v>-12815.349787878517</v>
      </c>
      <c r="J26" s="54"/>
      <c r="K26" s="59"/>
      <c r="L26" s="59"/>
      <c r="M26" s="59"/>
      <c r="N26" s="59"/>
      <c r="O26" s="46"/>
      <c r="P26" s="46"/>
      <c r="Q26" s="46"/>
    </row>
    <row r="27" spans="2:17" x14ac:dyDescent="0.2">
      <c r="B27" s="54"/>
      <c r="C27" s="55" t="s">
        <v>59</v>
      </c>
      <c r="D27" s="56">
        <f>GETPIVOTDATA("Sum of "&amp;T(Transactions!$J$19),Pivot!$A$3,"Customer",C27)</f>
        <v>802852.36957066879</v>
      </c>
      <c r="E27" s="56">
        <f>GETPIVOTDATA("Sum of "&amp;T(Transactions!$K$19),Pivot!$A$3,"Customer",C27)</f>
        <v>899617.84183963318</v>
      </c>
      <c r="F27" s="56">
        <f t="shared" si="1"/>
        <v>-96765.472268964397</v>
      </c>
      <c r="G27" s="46">
        <f>+GETPIVOTDATA("Sum of "&amp;T(Transactions!$M$19),Pivot!$A$3,"Customer","Hope, AR")</f>
        <v>-6928.5496317140942</v>
      </c>
      <c r="H27" s="46">
        <f>-'2025 NOLC Refund Detail'!C10</f>
        <v>45413.83319175864</v>
      </c>
      <c r="I27" s="57">
        <f t="shared" si="0"/>
        <v>-58280.18870891985</v>
      </c>
      <c r="J27" s="54"/>
      <c r="K27" s="59"/>
      <c r="L27" s="59"/>
      <c r="M27" s="59"/>
      <c r="N27" s="59"/>
      <c r="O27" s="46"/>
      <c r="P27" s="46"/>
      <c r="Q27" s="46"/>
    </row>
    <row r="28" spans="2:17" x14ac:dyDescent="0.2">
      <c r="B28" s="54"/>
      <c r="C28" s="55" t="s">
        <v>16</v>
      </c>
      <c r="D28" s="56">
        <f>GETPIVOTDATA("Sum of "&amp;T(Transactions!$J$19),Pivot!$A$3,"Customer",C28)</f>
        <v>54853.267486194767</v>
      </c>
      <c r="E28" s="56">
        <f>GETPIVOTDATA("Sum of "&amp;T(Transactions!$K$19),Pivot!$A$3,"Customer",C28)</f>
        <v>61464.573044943878</v>
      </c>
      <c r="F28" s="56">
        <f t="shared" si="1"/>
        <v>-6611.3055587491108</v>
      </c>
      <c r="G28" s="46">
        <f>+GETPIVOTDATA("Sum of "&amp;T(Transactions!$M$19),Pivot!$A$3,"Customer","Lighthouse")</f>
        <v>-473.37916738419284</v>
      </c>
      <c r="H28" s="46">
        <f>-'2025 NOLC Refund Detail'!C11</f>
        <v>0</v>
      </c>
      <c r="I28" s="57">
        <f t="shared" si="0"/>
        <v>-7084.6847261333032</v>
      </c>
      <c r="J28" s="54"/>
      <c r="M28" s="46"/>
      <c r="N28" s="46"/>
      <c r="O28" s="46"/>
      <c r="P28" s="46"/>
      <c r="Q28" s="46"/>
    </row>
    <row r="29" spans="2:17" x14ac:dyDescent="0.2">
      <c r="B29" s="54"/>
      <c r="C29" s="58" t="s">
        <v>58</v>
      </c>
      <c r="D29" s="56">
        <f>GETPIVOTDATA("Sum of "&amp;T(Transactions!$J$19),Pivot!$A$3,"Customer",C29)</f>
        <v>0</v>
      </c>
      <c r="E29" s="56">
        <f>GETPIVOTDATA("Sum of "&amp;T(Transactions!$K$19),Pivot!$A$3,"Customer",C29)</f>
        <v>0</v>
      </c>
      <c r="F29" s="56">
        <f t="shared" si="1"/>
        <v>0</v>
      </c>
      <c r="G29" s="46">
        <f>+GETPIVOTDATA("Sum of "&amp;T(Transactions!$M$19),Pivot!$A$3,"Customer","Minden, LA")</f>
        <v>0</v>
      </c>
      <c r="H29" s="46">
        <f>-'2025 NOLC Refund Detail'!C12</f>
        <v>27248.299915055184</v>
      </c>
      <c r="I29" s="57">
        <f t="shared" si="0"/>
        <v>27248.299915055184</v>
      </c>
      <c r="J29" s="54"/>
      <c r="M29" s="46"/>
      <c r="N29" s="46"/>
      <c r="O29" s="46"/>
      <c r="P29" s="46"/>
      <c r="Q29" s="46"/>
    </row>
    <row r="30" spans="2:17" x14ac:dyDescent="0.2">
      <c r="B30" s="54"/>
      <c r="C30" s="58" t="s">
        <v>19</v>
      </c>
      <c r="D30" s="56">
        <f>GETPIVOTDATA("Sum of "&amp;T(Transactions!$J$19),Pivot!$A$3,"Customer",C30)</f>
        <v>1240016.2892333725</v>
      </c>
      <c r="E30" s="56">
        <f>GETPIVOTDATA("Sum of "&amp;T(Transactions!$K$19),Pivot!$A$3,"Customer",C30)</f>
        <v>1389471.8633796405</v>
      </c>
      <c r="F30" s="56">
        <f t="shared" si="1"/>
        <v>-149455.57414626796</v>
      </c>
      <c r="G30" s="46">
        <f>+GETPIVOTDATA("Sum of "&amp;T(Transactions!$M$19),Pivot!$A$3,"Customer","OG&amp;E")</f>
        <v>-10701.23814753357</v>
      </c>
      <c r="H30" s="46">
        <f>-'2025 NOLC Refund Detail'!C13</f>
        <v>45413.83319175864</v>
      </c>
      <c r="I30" s="57">
        <f t="shared" si="0"/>
        <v>-114742.97910204288</v>
      </c>
      <c r="J30" s="54"/>
    </row>
    <row r="31" spans="2:17" x14ac:dyDescent="0.2">
      <c r="B31" s="54"/>
      <c r="C31" s="55" t="s">
        <v>8</v>
      </c>
      <c r="D31" s="56">
        <f>GETPIVOTDATA("Sum of "&amp;T(Transactions!$J$19),Pivot!$A$3,"Customer",C31)</f>
        <v>2062815.3015262941</v>
      </c>
      <c r="E31" s="56">
        <f>GETPIVOTDATA("Sum of "&amp;T(Transactions!$K$19),Pivot!$A$3,"Customer",C31)</f>
        <v>2311440.459053799</v>
      </c>
      <c r="F31" s="56">
        <f t="shared" si="1"/>
        <v>-248625.15752750495</v>
      </c>
      <c r="G31" s="46">
        <f>+GETPIVOTDATA("Sum of "&amp;T(Transactions!$M$19),Pivot!$A$3,"Customer","OMPA")</f>
        <v>-17801.925658296463</v>
      </c>
      <c r="H31" s="46">
        <f>-'2025 NOLC Refund Detail'!C14</f>
        <v>118075.96629857244</v>
      </c>
      <c r="I31" s="57">
        <f t="shared" si="0"/>
        <v>-148351.11688722897</v>
      </c>
      <c r="J31" s="54"/>
    </row>
    <row r="32" spans="2:17" x14ac:dyDescent="0.2">
      <c r="B32" s="54"/>
      <c r="C32" s="55" t="s">
        <v>57</v>
      </c>
      <c r="D32" s="56">
        <f>GETPIVOTDATA("Sum of "&amp;T(Transactions!$J$19),Pivot!$A$3,"Customer",C32)</f>
        <v>211101.96881050713</v>
      </c>
      <c r="E32" s="56">
        <f>GETPIVOTDATA("Sum of "&amp;T(Transactions!$K$19),Pivot!$A$3,"Customer",C32)</f>
        <v>236545.4780820568</v>
      </c>
      <c r="F32" s="56">
        <f t="shared" si="1"/>
        <v>-25443.509271549672</v>
      </c>
      <c r="G32" s="46">
        <f>+GETPIVOTDATA("Sum of "&amp;T(Transactions!$M$19),Pivot!$A$3,"Customer","Prescott, AR")</f>
        <v>-1821.7925532664387</v>
      </c>
      <c r="H32" s="46">
        <f>-'2025 NOLC Refund Detail'!C15</f>
        <v>9082.766638351728</v>
      </c>
      <c r="I32" s="57">
        <f t="shared" si="0"/>
        <v>-18182.535186464382</v>
      </c>
      <c r="J32" s="54"/>
    </row>
    <row r="33" spans="2:11" x14ac:dyDescent="0.2">
      <c r="B33" s="54"/>
      <c r="C33" s="60" t="s">
        <v>9</v>
      </c>
      <c r="D33" s="56">
        <f>GETPIVOTDATA("Sum of "&amp;T(Transactions!$J$19),Pivot!$A$3,"Customer",C33)</f>
        <v>1077118.7070016426</v>
      </c>
      <c r="E33" s="56">
        <f>GETPIVOTDATA("Sum of "&amp;T(Transactions!$K$19),Pivot!$A$3,"Customer",C33)</f>
        <v>1206940.7070643529</v>
      </c>
      <c r="F33" s="56">
        <f t="shared" si="1"/>
        <v>-129822.00006271037</v>
      </c>
      <c r="G33" s="46">
        <f>+GETPIVOTDATA("Sum of "&amp;T(Transactions!$M$19),Pivot!$A$3,"Customer","WFEC")</f>
        <v>-9295.4454686350582</v>
      </c>
      <c r="H33" s="46">
        <f>-'2025 NOLC Refund Detail'!C16</f>
        <v>45413.83319175864</v>
      </c>
      <c r="I33" s="57">
        <f t="shared" si="0"/>
        <v>-93703.612339586805</v>
      </c>
      <c r="J33" s="54"/>
    </row>
    <row r="34" spans="2:11" ht="24" x14ac:dyDescent="0.2">
      <c r="C34" s="61" t="s">
        <v>44</v>
      </c>
      <c r="D34" s="62">
        <f t="shared" ref="D34:I34" si="2">SUM(D21:D33)</f>
        <v>46713375.035288826</v>
      </c>
      <c r="E34" s="62">
        <f t="shared" si="2"/>
        <v>52343602.917638123</v>
      </c>
      <c r="F34" s="62">
        <f t="shared" si="2"/>
        <v>-5630227.8823492937</v>
      </c>
      <c r="G34" s="63">
        <f t="shared" si="2"/>
        <v>-403132.56790902931</v>
      </c>
      <c r="H34" s="63">
        <f t="shared" si="2"/>
        <v>2361519.3259714488</v>
      </c>
      <c r="I34" s="64">
        <f t="shared" si="2"/>
        <v>-3671841.1242868751</v>
      </c>
    </row>
    <row r="35" spans="2:11" x14ac:dyDescent="0.2">
      <c r="C35" s="65" t="s">
        <v>21</v>
      </c>
      <c r="D35" s="56">
        <f>GETPIVOTDATA("Sum of "&amp;T(Transactions!$J$19),Pivot!$A$3,"Customer",C35)</f>
        <v>64643744.622367106</v>
      </c>
      <c r="E35" s="56">
        <f>GETPIVOTDATA("Sum of "&amp;T(Transactions!$K$19),Pivot!$A$3,"Customer",C35)</f>
        <v>72435068.052056596</v>
      </c>
      <c r="F35" s="56">
        <f t="shared" si="1"/>
        <v>-7791323.4296894893</v>
      </c>
      <c r="G35" s="46">
        <f>+GETPIVOTDATA("Sum of "&amp;T(Transactions!$M$19),Pivot!$A$3,"Customer","PSO")</f>
        <v>-557870.17635064421</v>
      </c>
      <c r="H35" s="46">
        <f>-'2025 NOLC Refund Detail'!C18</f>
        <v>3360623.6561901392</v>
      </c>
      <c r="I35" s="57">
        <f>F35+G35+H35</f>
        <v>-4988569.9498499939</v>
      </c>
    </row>
    <row r="36" spans="2:11" x14ac:dyDescent="0.2">
      <c r="C36" s="66" t="s">
        <v>22</v>
      </c>
      <c r="D36" s="56">
        <f>GETPIVOTDATA("Sum of "&amp;T(Transactions!$J$19),Pivot!$A$3,"Customer",C36)</f>
        <v>61793036.933311835</v>
      </c>
      <c r="E36" s="56">
        <f>GETPIVOTDATA("Sum of "&amp;T(Transactions!$K$19),Pivot!$A$3,"Customer",C36)</f>
        <v>69240772.816539064</v>
      </c>
      <c r="F36" s="56">
        <f>D36-E36</f>
        <v>-7447735.8832272291</v>
      </c>
      <c r="G36" s="46">
        <f>+GETPIVOTDATA("Sum of "&amp;T(Transactions!$M$19),Pivot!$A$3,"Customer","SWEPCO")</f>
        <v>-533268.80446992023</v>
      </c>
      <c r="H36" s="46">
        <f>-'2025 NOLC Refund Detail'!C19</f>
        <v>3215299.3899765112</v>
      </c>
      <c r="I36" s="57">
        <f>F36+G36+H36</f>
        <v>-4765705.297720639</v>
      </c>
    </row>
    <row r="37" spans="2:11" x14ac:dyDescent="0.2">
      <c r="C37" s="67" t="s">
        <v>83</v>
      </c>
      <c r="D37" s="56">
        <f>GETPIVOTDATA("Sum of "&amp;T(Transactions!$J$19),Pivot!$A$3,"Customer",C37)</f>
        <v>2834085.4867867297</v>
      </c>
      <c r="E37" s="56">
        <f>GETPIVOTDATA("Sum of "&amp;T(Transactions!$K$19),Pivot!$A$3,"Customer",C37)</f>
        <v>3175669.6073221001</v>
      </c>
      <c r="F37" s="56">
        <f>D37-E37</f>
        <v>-341584.12053537043</v>
      </c>
      <c r="G37" s="46">
        <f>+GETPIVOTDATA("Sum of "&amp;T(Transactions!$M$19),Pivot!$A$3,"Customer","SWEPCO-Valley")</f>
        <v>-24457.923648183292</v>
      </c>
      <c r="H37" s="46">
        <f>-'2025 NOLC Refund Detail'!C20</f>
        <v>145324.26621362765</v>
      </c>
      <c r="I37" s="57">
        <f>F37+G37+H37</f>
        <v>-220717.77796992607</v>
      </c>
    </row>
    <row r="38" spans="2:11" ht="24" x14ac:dyDescent="0.2">
      <c r="C38" s="68" t="s">
        <v>53</v>
      </c>
      <c r="D38" s="69">
        <f t="shared" ref="D38:I38" si="3">SUM(D35:D37)</f>
        <v>129270867.04246566</v>
      </c>
      <c r="E38" s="69">
        <f t="shared" si="3"/>
        <v>144851510.47591776</v>
      </c>
      <c r="F38" s="69">
        <f t="shared" si="3"/>
        <v>-15580643.433452088</v>
      </c>
      <c r="G38" s="70">
        <f t="shared" si="3"/>
        <v>-1115596.9044687478</v>
      </c>
      <c r="H38" s="70">
        <f t="shared" si="3"/>
        <v>6721247.3123802785</v>
      </c>
      <c r="I38" s="71">
        <f t="shared" si="3"/>
        <v>-9974993.0255405605</v>
      </c>
    </row>
    <row r="39" spans="2:11" ht="23.25" customHeight="1" thickBot="1" x14ac:dyDescent="0.25">
      <c r="C39" s="72" t="s">
        <v>45</v>
      </c>
      <c r="D39" s="73">
        <f t="shared" ref="D39:I39" si="4">SUM(D34,D38)</f>
        <v>175984242.0777545</v>
      </c>
      <c r="E39" s="74">
        <f t="shared" si="4"/>
        <v>197195113.39355588</v>
      </c>
      <c r="F39" s="73">
        <f t="shared" si="4"/>
        <v>-21210871.315801382</v>
      </c>
      <c r="G39" s="74">
        <f t="shared" si="4"/>
        <v>-1518729.4723777771</v>
      </c>
      <c r="H39" s="74">
        <f t="shared" si="4"/>
        <v>9082766.6383517273</v>
      </c>
      <c r="I39" s="75">
        <f t="shared" si="4"/>
        <v>-13646834.149827436</v>
      </c>
      <c r="K39" s="76"/>
    </row>
    <row r="41" spans="2:11" x14ac:dyDescent="0.2">
      <c r="D41" s="179"/>
    </row>
    <row r="42" spans="2:11" x14ac:dyDescent="0.2">
      <c r="D42" s="180"/>
    </row>
    <row r="45" spans="2:11" x14ac:dyDescent="0.2">
      <c r="D45" s="181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6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6"/>
  <sheetViews>
    <sheetView zoomScale="85" zoomScaleNormal="85" workbookViewId="0">
      <pane xSplit="2" ySplit="4" topLeftCell="C31" activePane="bottomRight" state="frozen"/>
      <selection activeCell="C40" sqref="C40"/>
      <selection pane="topRight" activeCell="C40" sqref="C40"/>
      <selection pane="bottomLeft" activeCell="C40" sqref="C40"/>
      <selection pane="bottomRight" activeCell="C40" sqref="C40"/>
    </sheetView>
  </sheetViews>
  <sheetFormatPr defaultColWidth="8.7109375" defaultRowHeight="12.75" x14ac:dyDescent="0.2"/>
  <cols>
    <col min="1" max="1" width="19.140625" customWidth="1"/>
    <col min="2" max="2" width="27.85546875" bestFit="1" customWidth="1"/>
    <col min="3" max="14" width="14.85546875" bestFit="1" customWidth="1"/>
    <col min="15" max="15" width="12.5703125" bestFit="1" customWidth="1"/>
  </cols>
  <sheetData>
    <row r="3" spans="1:15" x14ac:dyDescent="0.2">
      <c r="A3" s="214"/>
      <c r="B3" s="215"/>
      <c r="C3" s="216" t="s">
        <v>55</v>
      </c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7"/>
    </row>
    <row r="4" spans="1:15" x14ac:dyDescent="0.2">
      <c r="A4" s="216" t="s">
        <v>0</v>
      </c>
      <c r="B4" s="216" t="s">
        <v>24</v>
      </c>
      <c r="C4" s="218">
        <v>45658</v>
      </c>
      <c r="D4" s="219">
        <v>45689</v>
      </c>
      <c r="E4" s="219">
        <v>45717</v>
      </c>
      <c r="F4" s="219">
        <v>45748</v>
      </c>
      <c r="G4" s="219">
        <v>45778</v>
      </c>
      <c r="H4" s="219">
        <v>45809</v>
      </c>
      <c r="I4" s="219">
        <v>45839</v>
      </c>
      <c r="J4" s="219">
        <v>45870</v>
      </c>
      <c r="K4" s="219">
        <v>45901</v>
      </c>
      <c r="L4" s="219">
        <v>45931</v>
      </c>
      <c r="M4" s="219">
        <v>45962</v>
      </c>
      <c r="N4" s="219">
        <v>45992</v>
      </c>
      <c r="O4" s="220" t="s">
        <v>18</v>
      </c>
    </row>
    <row r="5" spans="1:15" x14ac:dyDescent="0.2">
      <c r="A5" s="214" t="s">
        <v>14</v>
      </c>
      <c r="B5" s="214" t="s">
        <v>72</v>
      </c>
      <c r="C5" s="221">
        <v>1605704.7391413376</v>
      </c>
      <c r="D5" s="222">
        <v>1831766.6899935342</v>
      </c>
      <c r="E5" s="222">
        <v>1188487.4622008866</v>
      </c>
      <c r="F5" s="222">
        <v>965749.95180239866</v>
      </c>
      <c r="G5" s="222">
        <v>1298193.997173276</v>
      </c>
      <c r="H5" s="222">
        <v>1489349.3232615306</v>
      </c>
      <c r="I5" s="222">
        <v>1708762.3932063095</v>
      </c>
      <c r="J5" s="222">
        <v>1753642.339331378</v>
      </c>
      <c r="K5" s="222">
        <v>1354709.4848863252</v>
      </c>
      <c r="L5" s="222">
        <v>1226718.5274185373</v>
      </c>
      <c r="M5" s="222">
        <v>1173527.480159197</v>
      </c>
      <c r="N5" s="222">
        <v>1434496.0557753358</v>
      </c>
      <c r="O5" s="223">
        <v>17031108.444350045</v>
      </c>
    </row>
    <row r="6" spans="1:15" x14ac:dyDescent="0.2">
      <c r="A6" s="224"/>
      <c r="B6" s="225" t="s">
        <v>25</v>
      </c>
      <c r="C6" s="226">
        <v>-193530.94453792903</v>
      </c>
      <c r="D6" s="227">
        <v>-220777.53714368283</v>
      </c>
      <c r="E6" s="227">
        <v>-143244.9537728976</v>
      </c>
      <c r="F6" s="227">
        <v>-116399.04635252256</v>
      </c>
      <c r="G6" s="227">
        <v>-156467.56489039585</v>
      </c>
      <c r="H6" s="227">
        <v>-179506.96304967301</v>
      </c>
      <c r="I6" s="227">
        <v>-205952.18528466974</v>
      </c>
      <c r="J6" s="227">
        <v>-211361.43528728257</v>
      </c>
      <c r="K6" s="227">
        <v>-163279.21304183453</v>
      </c>
      <c r="L6" s="227">
        <v>-147852.83340475336</v>
      </c>
      <c r="M6" s="227">
        <v>-141441.87043869332</v>
      </c>
      <c r="N6" s="227">
        <v>-172895.657490924</v>
      </c>
      <c r="O6" s="228">
        <v>-2052710.2046952583</v>
      </c>
    </row>
    <row r="7" spans="1:15" x14ac:dyDescent="0.2">
      <c r="A7" s="224"/>
      <c r="B7" s="225" t="s">
        <v>26</v>
      </c>
      <c r="C7" s="226">
        <v>-13857.09926342819</v>
      </c>
      <c r="D7" s="227">
        <v>-15807.995225981225</v>
      </c>
      <c r="E7" s="227">
        <v>-10256.54862665751</v>
      </c>
      <c r="F7" s="227">
        <v>-8334.3423106126065</v>
      </c>
      <c r="G7" s="227">
        <v>-11203.306961425897</v>
      </c>
      <c r="H7" s="227">
        <v>-12852.961635643536</v>
      </c>
      <c r="I7" s="227">
        <v>-14746.47830518031</v>
      </c>
      <c r="J7" s="227">
        <v>-15133.788533040104</v>
      </c>
      <c r="K7" s="227">
        <v>-11691.030952064155</v>
      </c>
      <c r="L7" s="227">
        <v>-10586.479561501039</v>
      </c>
      <c r="M7" s="227">
        <v>-10127.445217370912</v>
      </c>
      <c r="N7" s="227">
        <v>-12379.582468259343</v>
      </c>
      <c r="O7" s="228">
        <v>-146977.05906116485</v>
      </c>
    </row>
    <row r="8" spans="1:15" x14ac:dyDescent="0.2">
      <c r="A8" s="224"/>
      <c r="B8" s="225" t="s">
        <v>27</v>
      </c>
      <c r="C8" s="226">
        <v>-207388.04380135721</v>
      </c>
      <c r="D8" s="227">
        <v>-236585.53236966406</v>
      </c>
      <c r="E8" s="227">
        <v>-153501.50239955512</v>
      </c>
      <c r="F8" s="227">
        <v>-124733.38866313518</v>
      </c>
      <c r="G8" s="227">
        <v>-167670.87185182175</v>
      </c>
      <c r="H8" s="227">
        <v>-192359.92468531654</v>
      </c>
      <c r="I8" s="227">
        <v>-220698.66358985007</v>
      </c>
      <c r="J8" s="227">
        <v>-226495.22382032266</v>
      </c>
      <c r="K8" s="227">
        <v>-174970.24399389868</v>
      </c>
      <c r="L8" s="227">
        <v>-158439.31296625439</v>
      </c>
      <c r="M8" s="227">
        <v>-151569.31565606422</v>
      </c>
      <c r="N8" s="227">
        <v>-185275.23995918335</v>
      </c>
      <c r="O8" s="228">
        <v>-2199687.2637564233</v>
      </c>
    </row>
    <row r="9" spans="1:15" x14ac:dyDescent="0.2">
      <c r="A9" s="224"/>
      <c r="B9" s="225" t="s">
        <v>51</v>
      </c>
      <c r="C9" s="229">
        <v>1799235.6836792666</v>
      </c>
      <c r="D9" s="77">
        <v>2052544.2271372171</v>
      </c>
      <c r="E9" s="77">
        <v>1331732.4159737842</v>
      </c>
      <c r="F9" s="77">
        <v>1082148.9981549212</v>
      </c>
      <c r="G9" s="77">
        <v>1454661.5620636719</v>
      </c>
      <c r="H9" s="77">
        <v>1668856.2863112036</v>
      </c>
      <c r="I9" s="77">
        <v>1914714.5784909793</v>
      </c>
      <c r="J9" s="77">
        <v>1965003.7746186606</v>
      </c>
      <c r="K9" s="77">
        <v>1517988.6979281597</v>
      </c>
      <c r="L9" s="77">
        <v>1374571.3608232907</v>
      </c>
      <c r="M9" s="77">
        <v>1314969.3505978903</v>
      </c>
      <c r="N9" s="77">
        <v>1607391.7132662598</v>
      </c>
      <c r="O9" s="230">
        <v>19083818.649045307</v>
      </c>
    </row>
    <row r="10" spans="1:15" x14ac:dyDescent="0.2">
      <c r="A10" s="224"/>
      <c r="B10" s="225" t="s">
        <v>91</v>
      </c>
      <c r="C10" s="229">
        <v>0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230">
        <v>0</v>
      </c>
    </row>
    <row r="11" spans="1:15" x14ac:dyDescent="0.2">
      <c r="A11" s="224"/>
      <c r="B11" s="225" t="s">
        <v>93</v>
      </c>
      <c r="C11" s="229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230">
        <v>0</v>
      </c>
    </row>
    <row r="12" spans="1:15" x14ac:dyDescent="0.2">
      <c r="A12" s="214" t="s">
        <v>17</v>
      </c>
      <c r="B12" s="214" t="s">
        <v>72</v>
      </c>
      <c r="C12" s="221">
        <v>176195.34404656501</v>
      </c>
      <c r="D12" s="222">
        <v>169546.46313914744</v>
      </c>
      <c r="E12" s="222">
        <v>166222.02268543869</v>
      </c>
      <c r="F12" s="222">
        <v>99733.2136112632</v>
      </c>
      <c r="G12" s="222">
        <v>159573.14177802112</v>
      </c>
      <c r="H12" s="222">
        <v>197804.20699567202</v>
      </c>
      <c r="I12" s="222">
        <v>196141.98676881765</v>
      </c>
      <c r="J12" s="222">
        <v>197804.20699567202</v>
      </c>
      <c r="K12" s="222">
        <v>167884.24291229306</v>
      </c>
      <c r="L12" s="222">
        <v>176195.34404656501</v>
      </c>
      <c r="M12" s="222">
        <v>58177.707939903536</v>
      </c>
      <c r="N12" s="222">
        <v>171208.68336600185</v>
      </c>
      <c r="O12" s="223">
        <v>1936486.5642853605</v>
      </c>
    </row>
    <row r="13" spans="1:15" x14ac:dyDescent="0.2">
      <c r="A13" s="224"/>
      <c r="B13" s="225" t="s">
        <v>25</v>
      </c>
      <c r="C13" s="226">
        <v>-21236.314825072943</v>
      </c>
      <c r="D13" s="227">
        <v>-20434.944454315468</v>
      </c>
      <c r="E13" s="227">
        <v>-20034.25926893673</v>
      </c>
      <c r="F13" s="227">
        <v>-12020.555561362053</v>
      </c>
      <c r="G13" s="227">
        <v>-19232.888898179284</v>
      </c>
      <c r="H13" s="227">
        <v>-23840.768530034722</v>
      </c>
      <c r="I13" s="227">
        <v>-23640.425937345339</v>
      </c>
      <c r="J13" s="227">
        <v>-23840.768530034722</v>
      </c>
      <c r="K13" s="227">
        <v>-20234.601861626114</v>
      </c>
      <c r="L13" s="227">
        <v>-21236.314825072943</v>
      </c>
      <c r="M13" s="227">
        <v>-7011.9907441278556</v>
      </c>
      <c r="N13" s="227">
        <v>-20635.287047004822</v>
      </c>
      <c r="O13" s="228">
        <v>-233399.12048311299</v>
      </c>
    </row>
    <row r="14" spans="1:15" x14ac:dyDescent="0.2">
      <c r="A14" s="224"/>
      <c r="B14" s="225" t="s">
        <v>26</v>
      </c>
      <c r="C14" s="226">
        <v>-1520.5512649310435</v>
      </c>
      <c r="D14" s="227">
        <v>-1463.1719719147777</v>
      </c>
      <c r="E14" s="227">
        <v>-1434.4823254066448</v>
      </c>
      <c r="F14" s="227">
        <v>-860.68939524398684</v>
      </c>
      <c r="G14" s="227">
        <v>-1377.1030323903792</v>
      </c>
      <c r="H14" s="227">
        <v>-1707.0339672339071</v>
      </c>
      <c r="I14" s="227">
        <v>-1692.689143979841</v>
      </c>
      <c r="J14" s="227">
        <v>-1707.0339672339071</v>
      </c>
      <c r="K14" s="227">
        <v>-1448.8271486607111</v>
      </c>
      <c r="L14" s="227">
        <v>-1520.5512649310435</v>
      </c>
      <c r="M14" s="227">
        <v>-502.06881389232569</v>
      </c>
      <c r="N14" s="227">
        <v>-1477.5167951688443</v>
      </c>
      <c r="O14" s="228">
        <v>-16711.719090987412</v>
      </c>
    </row>
    <row r="15" spans="1:15" x14ac:dyDescent="0.2">
      <c r="A15" s="224"/>
      <c r="B15" s="225" t="s">
        <v>27</v>
      </c>
      <c r="C15" s="226">
        <v>-22756.866090003987</v>
      </c>
      <c r="D15" s="227">
        <v>-21898.116426230245</v>
      </c>
      <c r="E15" s="227">
        <v>-21468.741594343373</v>
      </c>
      <c r="F15" s="227">
        <v>-12881.244956606039</v>
      </c>
      <c r="G15" s="227">
        <v>-20609.991930569664</v>
      </c>
      <c r="H15" s="227">
        <v>-25547.802497268629</v>
      </c>
      <c r="I15" s="227">
        <v>-25333.115081325181</v>
      </c>
      <c r="J15" s="227">
        <v>-25547.802497268629</v>
      </c>
      <c r="K15" s="227">
        <v>-21683.429010286825</v>
      </c>
      <c r="L15" s="227">
        <v>-22756.866090003987</v>
      </c>
      <c r="M15" s="227">
        <v>-7514.0595580201816</v>
      </c>
      <c r="N15" s="227">
        <v>-22112.803842173667</v>
      </c>
      <c r="O15" s="228">
        <v>-250110.83957410036</v>
      </c>
    </row>
    <row r="16" spans="1:15" x14ac:dyDescent="0.2">
      <c r="A16" s="224"/>
      <c r="B16" s="225" t="s">
        <v>51</v>
      </c>
      <c r="C16" s="229">
        <v>197431.65887163795</v>
      </c>
      <c r="D16" s="77">
        <v>189981.40759346291</v>
      </c>
      <c r="E16" s="77">
        <v>186256.28195437542</v>
      </c>
      <c r="F16" s="77">
        <v>111753.76917262525</v>
      </c>
      <c r="G16" s="77">
        <v>178806.0306762004</v>
      </c>
      <c r="H16" s="77">
        <v>221644.97552570674</v>
      </c>
      <c r="I16" s="77">
        <v>219782.41270616298</v>
      </c>
      <c r="J16" s="77">
        <v>221644.97552570674</v>
      </c>
      <c r="K16" s="77">
        <v>188118.84477391918</v>
      </c>
      <c r="L16" s="77">
        <v>197431.65887163795</v>
      </c>
      <c r="M16" s="77">
        <v>65189.698684031391</v>
      </c>
      <c r="N16" s="77">
        <v>191843.97041300667</v>
      </c>
      <c r="O16" s="230">
        <v>2169885.6847684737</v>
      </c>
    </row>
    <row r="17" spans="1:15" x14ac:dyDescent="0.2">
      <c r="A17" s="224"/>
      <c r="B17" s="225" t="s">
        <v>91</v>
      </c>
      <c r="C17" s="229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230">
        <v>0</v>
      </c>
    </row>
    <row r="18" spans="1:15" x14ac:dyDescent="0.2">
      <c r="A18" s="224"/>
      <c r="B18" s="225" t="s">
        <v>93</v>
      </c>
      <c r="C18" s="229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230">
        <v>0</v>
      </c>
    </row>
    <row r="19" spans="1:15" x14ac:dyDescent="0.2">
      <c r="A19" s="214" t="s">
        <v>13</v>
      </c>
      <c r="B19" s="214" t="s">
        <v>72</v>
      </c>
      <c r="C19" s="221">
        <v>2185819.5983135183</v>
      </c>
      <c r="D19" s="222">
        <v>2288877.2523784908</v>
      </c>
      <c r="E19" s="222">
        <v>1314816.1994418199</v>
      </c>
      <c r="F19" s="222">
        <v>1002318.7967931952</v>
      </c>
      <c r="G19" s="222">
        <v>1226718.5274185373</v>
      </c>
      <c r="H19" s="222">
        <v>1411224.9725993744</v>
      </c>
      <c r="I19" s="222">
        <v>1625651.3818635903</v>
      </c>
      <c r="J19" s="222">
        <v>1662220.2268543867</v>
      </c>
      <c r="K19" s="222">
        <v>1402913.8714651023</v>
      </c>
      <c r="L19" s="222">
        <v>1263287.3724093339</v>
      </c>
      <c r="M19" s="222">
        <v>1243340.7296870812</v>
      </c>
      <c r="N19" s="222">
        <v>1778575.6427341937</v>
      </c>
      <c r="O19" s="223">
        <v>18405764.571958624</v>
      </c>
    </row>
    <row r="20" spans="1:15" x14ac:dyDescent="0.2">
      <c r="A20" s="224"/>
      <c r="B20" s="225" t="s">
        <v>25</v>
      </c>
      <c r="C20" s="226">
        <v>-263450.5093865185</v>
      </c>
      <c r="D20" s="227">
        <v>-275871.75013325876</v>
      </c>
      <c r="E20" s="227">
        <v>-158470.99081728957</v>
      </c>
      <c r="F20" s="227">
        <v>-120806.58339168853</v>
      </c>
      <c r="G20" s="227">
        <v>-147852.83340475336</v>
      </c>
      <c r="H20" s="227">
        <v>-170090.86119327298</v>
      </c>
      <c r="I20" s="227">
        <v>-195935.05565020116</v>
      </c>
      <c r="J20" s="227">
        <v>-200342.59268936748</v>
      </c>
      <c r="K20" s="227">
        <v>-169089.14822982624</v>
      </c>
      <c r="L20" s="227">
        <v>-152260.37044391921</v>
      </c>
      <c r="M20" s="227">
        <v>-149856.25933164684</v>
      </c>
      <c r="N20" s="227">
        <v>-214366.57417762326</v>
      </c>
      <c r="O20" s="228">
        <v>-2218393.5288493661</v>
      </c>
    </row>
    <row r="21" spans="1:15" x14ac:dyDescent="0.2">
      <c r="A21" s="224"/>
      <c r="B21" s="225" t="s">
        <v>26</v>
      </c>
      <c r="C21" s="226">
        <v>-18863.44257909738</v>
      </c>
      <c r="D21" s="227">
        <v>-19752.8216208495</v>
      </c>
      <c r="E21" s="227">
        <v>-11346.755193966561</v>
      </c>
      <c r="F21" s="227">
        <v>-8649.9284222020688</v>
      </c>
      <c r="G21" s="227">
        <v>-10586.479561501039</v>
      </c>
      <c r="H21" s="227">
        <v>-12178.754942702413</v>
      </c>
      <c r="I21" s="227">
        <v>-14029.237142476986</v>
      </c>
      <c r="J21" s="227">
        <v>-14344.823254066448</v>
      </c>
      <c r="K21" s="227">
        <v>-12107.030826432083</v>
      </c>
      <c r="L21" s="227">
        <v>-10902.065673090501</v>
      </c>
      <c r="M21" s="227">
        <v>-10729.927794041703</v>
      </c>
      <c r="N21" s="227">
        <v>-15348.960881851101</v>
      </c>
      <c r="O21" s="228">
        <v>-158840.22789227773</v>
      </c>
    </row>
    <row r="22" spans="1:15" x14ac:dyDescent="0.2">
      <c r="A22" s="224"/>
      <c r="B22" s="225" t="s">
        <v>27</v>
      </c>
      <c r="C22" s="226">
        <v>-282313.95196561591</v>
      </c>
      <c r="D22" s="227">
        <v>-295624.57175410824</v>
      </c>
      <c r="E22" s="227">
        <v>-169817.74601125612</v>
      </c>
      <c r="F22" s="227">
        <v>-129456.5118138906</v>
      </c>
      <c r="G22" s="227">
        <v>-158439.31296625439</v>
      </c>
      <c r="H22" s="227">
        <v>-182269.6161359754</v>
      </c>
      <c r="I22" s="227">
        <v>-209964.29279267814</v>
      </c>
      <c r="J22" s="227">
        <v>-214687.41594343394</v>
      </c>
      <c r="K22" s="227">
        <v>-181196.17905625832</v>
      </c>
      <c r="L22" s="227">
        <v>-163162.4361170097</v>
      </c>
      <c r="M22" s="227">
        <v>-160586.18712568854</v>
      </c>
      <c r="N22" s="227">
        <v>-229715.53505947435</v>
      </c>
      <c r="O22" s="228">
        <v>-2377233.7567416439</v>
      </c>
    </row>
    <row r="23" spans="1:15" x14ac:dyDescent="0.2">
      <c r="A23" s="224"/>
      <c r="B23" s="225" t="s">
        <v>51</v>
      </c>
      <c r="C23" s="229">
        <v>2449270.1077000368</v>
      </c>
      <c r="D23" s="77">
        <v>2564749.0025117495</v>
      </c>
      <c r="E23" s="77">
        <v>1473287.1902591095</v>
      </c>
      <c r="F23" s="77">
        <v>1123125.3801848837</v>
      </c>
      <c r="G23" s="77">
        <v>1374571.3608232907</v>
      </c>
      <c r="H23" s="77">
        <v>1581315.8337926473</v>
      </c>
      <c r="I23" s="77">
        <v>1821586.4375137915</v>
      </c>
      <c r="J23" s="77">
        <v>1862562.8195437542</v>
      </c>
      <c r="K23" s="77">
        <v>1572003.0196949285</v>
      </c>
      <c r="L23" s="77">
        <v>1415547.7428532531</v>
      </c>
      <c r="M23" s="77">
        <v>1393196.989018728</v>
      </c>
      <c r="N23" s="77">
        <v>1992942.216911817</v>
      </c>
      <c r="O23" s="230">
        <v>20624158.100807987</v>
      </c>
    </row>
    <row r="24" spans="1:15" x14ac:dyDescent="0.2">
      <c r="A24" s="224"/>
      <c r="B24" s="225" t="s">
        <v>91</v>
      </c>
      <c r="C24" s="229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230">
        <v>0</v>
      </c>
    </row>
    <row r="25" spans="1:15" x14ac:dyDescent="0.2">
      <c r="A25" s="224"/>
      <c r="B25" s="225" t="s">
        <v>93</v>
      </c>
      <c r="C25" s="229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230">
        <v>0</v>
      </c>
    </row>
    <row r="26" spans="1:15" x14ac:dyDescent="0.2">
      <c r="A26" s="214" t="s">
        <v>15</v>
      </c>
      <c r="B26" s="214" t="s">
        <v>72</v>
      </c>
      <c r="C26" s="221">
        <v>11635.541587980708</v>
      </c>
      <c r="D26" s="222">
        <v>13297.761814835094</v>
      </c>
      <c r="E26" s="222">
        <v>11635.541587980708</v>
      </c>
      <c r="F26" s="222">
        <v>4986.66068056316</v>
      </c>
      <c r="G26" s="222">
        <v>8311.1011342719339</v>
      </c>
      <c r="H26" s="222">
        <v>16622.202268543868</v>
      </c>
      <c r="I26" s="222">
        <v>28257.743856524576</v>
      </c>
      <c r="J26" s="222">
        <v>26595.523629670188</v>
      </c>
      <c r="K26" s="222">
        <v>13297.761814835094</v>
      </c>
      <c r="L26" s="222">
        <v>13297.761814835094</v>
      </c>
      <c r="M26" s="222">
        <v>9973.32136112632</v>
      </c>
      <c r="N26" s="222">
        <v>11635.541587980708</v>
      </c>
      <c r="O26" s="223">
        <v>169546.46313914744</v>
      </c>
    </row>
    <row r="27" spans="1:15" x14ac:dyDescent="0.2">
      <c r="A27" s="224"/>
      <c r="B27" s="225" t="s">
        <v>25</v>
      </c>
      <c r="C27" s="226">
        <v>-1402.3981488255704</v>
      </c>
      <c r="D27" s="227">
        <v>-1602.7407415149391</v>
      </c>
      <c r="E27" s="227">
        <v>-1402.3981488255704</v>
      </c>
      <c r="F27" s="227">
        <v>-601.02777806810263</v>
      </c>
      <c r="G27" s="227">
        <v>-1001.7129634468365</v>
      </c>
      <c r="H27" s="227">
        <v>-2003.425926893673</v>
      </c>
      <c r="I27" s="227">
        <v>-3405.8240757192434</v>
      </c>
      <c r="J27" s="227">
        <v>-3205.4814830298783</v>
      </c>
      <c r="K27" s="227">
        <v>-1602.7407415149391</v>
      </c>
      <c r="L27" s="227">
        <v>-1602.7407415149391</v>
      </c>
      <c r="M27" s="227">
        <v>-1202.0555561362053</v>
      </c>
      <c r="N27" s="227">
        <v>-1402.3981488255704</v>
      </c>
      <c r="O27" s="228">
        <v>-20434.944454315468</v>
      </c>
    </row>
    <row r="28" spans="1:15" x14ac:dyDescent="0.2">
      <c r="A28" s="224"/>
      <c r="B28" s="225" t="s">
        <v>26</v>
      </c>
      <c r="C28" s="226">
        <v>-100.41376277846513</v>
      </c>
      <c r="D28" s="227">
        <v>-114.75858603253158</v>
      </c>
      <c r="E28" s="227">
        <v>-100.41376277846513</v>
      </c>
      <c r="F28" s="227">
        <v>-43.03446976219935</v>
      </c>
      <c r="G28" s="227">
        <v>-71.724116270332232</v>
      </c>
      <c r="H28" s="227">
        <v>-143.44823254066446</v>
      </c>
      <c r="I28" s="227">
        <v>-243.86199531912962</v>
      </c>
      <c r="J28" s="227">
        <v>-229.51717206506316</v>
      </c>
      <c r="K28" s="227">
        <v>-114.75858603253158</v>
      </c>
      <c r="L28" s="227">
        <v>-114.75858603253158</v>
      </c>
      <c r="M28" s="227">
        <v>-86.068939524398701</v>
      </c>
      <c r="N28" s="227">
        <v>-100.41376277846513</v>
      </c>
      <c r="O28" s="228">
        <v>-1463.1719719147777</v>
      </c>
    </row>
    <row r="29" spans="1:15" x14ac:dyDescent="0.2">
      <c r="A29" s="224"/>
      <c r="B29" s="225" t="s">
        <v>27</v>
      </c>
      <c r="C29" s="226">
        <v>-1502.8119116040355</v>
      </c>
      <c r="D29" s="227">
        <v>-1717.4993275474708</v>
      </c>
      <c r="E29" s="227">
        <v>-1502.8119116040355</v>
      </c>
      <c r="F29" s="227">
        <v>-644.062247830302</v>
      </c>
      <c r="G29" s="227">
        <v>-1073.4370797171687</v>
      </c>
      <c r="H29" s="227">
        <v>-2146.8741594343373</v>
      </c>
      <c r="I29" s="227">
        <v>-3649.686071038373</v>
      </c>
      <c r="J29" s="227">
        <v>-3434.9986550949416</v>
      </c>
      <c r="K29" s="227">
        <v>-1717.4993275474708</v>
      </c>
      <c r="L29" s="227">
        <v>-1717.4993275474708</v>
      </c>
      <c r="M29" s="227">
        <v>-1288.124495660604</v>
      </c>
      <c r="N29" s="227">
        <v>-1502.8119116040355</v>
      </c>
      <c r="O29" s="228">
        <v>-21898.116426230245</v>
      </c>
    </row>
    <row r="30" spans="1:15" x14ac:dyDescent="0.2">
      <c r="A30" s="224"/>
      <c r="B30" s="225" t="s">
        <v>51</v>
      </c>
      <c r="C30" s="229">
        <v>13037.939736806278</v>
      </c>
      <c r="D30" s="77">
        <v>14900.502556350033</v>
      </c>
      <c r="E30" s="77">
        <v>13037.939736806278</v>
      </c>
      <c r="F30" s="77">
        <v>5587.6884586312626</v>
      </c>
      <c r="G30" s="77">
        <v>9312.8140977187704</v>
      </c>
      <c r="H30" s="77">
        <v>18625.628195437541</v>
      </c>
      <c r="I30" s="77">
        <v>31663.567932243819</v>
      </c>
      <c r="J30" s="77">
        <v>29801.005112700066</v>
      </c>
      <c r="K30" s="77">
        <v>14900.502556350033</v>
      </c>
      <c r="L30" s="77">
        <v>14900.502556350033</v>
      </c>
      <c r="M30" s="77">
        <v>11175.376917262525</v>
      </c>
      <c r="N30" s="77">
        <v>13037.939736806278</v>
      </c>
      <c r="O30" s="230">
        <v>189981.40759346291</v>
      </c>
    </row>
    <row r="31" spans="1:15" x14ac:dyDescent="0.2">
      <c r="A31" s="224"/>
      <c r="B31" s="225" t="s">
        <v>91</v>
      </c>
      <c r="C31" s="229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230">
        <v>0</v>
      </c>
    </row>
    <row r="32" spans="1:15" x14ac:dyDescent="0.2">
      <c r="A32" s="224"/>
      <c r="B32" s="225" t="s">
        <v>93</v>
      </c>
      <c r="C32" s="229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230">
        <v>0</v>
      </c>
    </row>
    <row r="33" spans="1:15" x14ac:dyDescent="0.2">
      <c r="A33" s="214" t="s">
        <v>16</v>
      </c>
      <c r="B33" s="214" t="s">
        <v>72</v>
      </c>
      <c r="C33" s="221">
        <v>3324.4404537087735</v>
      </c>
      <c r="D33" s="222">
        <v>4986.66068056316</v>
      </c>
      <c r="E33" s="222">
        <v>3324.4404537087735</v>
      </c>
      <c r="F33" s="222">
        <v>1662.2202268543867</v>
      </c>
      <c r="G33" s="222">
        <v>3324.4404537087735</v>
      </c>
      <c r="H33" s="222">
        <v>4986.66068056316</v>
      </c>
      <c r="I33" s="222">
        <v>11635.541587980708</v>
      </c>
      <c r="J33" s="222">
        <v>8311.1011342719339</v>
      </c>
      <c r="K33" s="222">
        <v>3324.4404537087735</v>
      </c>
      <c r="L33" s="222">
        <v>4986.66068056316</v>
      </c>
      <c r="M33" s="222">
        <v>1662.2202268543867</v>
      </c>
      <c r="N33" s="222">
        <v>3324.4404537087735</v>
      </c>
      <c r="O33" s="223">
        <v>54853.267486194767</v>
      </c>
    </row>
    <row r="34" spans="1:15" x14ac:dyDescent="0.2">
      <c r="A34" s="224"/>
      <c r="B34" s="225" t="s">
        <v>25</v>
      </c>
      <c r="C34" s="226">
        <v>-400.68518537873479</v>
      </c>
      <c r="D34" s="227">
        <v>-601.02777806810263</v>
      </c>
      <c r="E34" s="227">
        <v>-400.68518537873479</v>
      </c>
      <c r="F34" s="227">
        <v>-200.34259268936739</v>
      </c>
      <c r="G34" s="227">
        <v>-400.68518537873479</v>
      </c>
      <c r="H34" s="227">
        <v>-601.02777806810263</v>
      </c>
      <c r="I34" s="227">
        <v>-1402.3981488255704</v>
      </c>
      <c r="J34" s="227">
        <v>-1001.7129634468365</v>
      </c>
      <c r="K34" s="227">
        <v>-400.68518537873479</v>
      </c>
      <c r="L34" s="227">
        <v>-601.02777806810263</v>
      </c>
      <c r="M34" s="227">
        <v>-200.34259268936739</v>
      </c>
      <c r="N34" s="227">
        <v>-400.68518537873479</v>
      </c>
      <c r="O34" s="228">
        <v>-6611.3055587491244</v>
      </c>
    </row>
    <row r="35" spans="1:15" x14ac:dyDescent="0.2">
      <c r="A35" s="224"/>
      <c r="B35" s="225" t="s">
        <v>26</v>
      </c>
      <c r="C35" s="226">
        <v>-28.689646508132896</v>
      </c>
      <c r="D35" s="227">
        <v>-43.03446976219935</v>
      </c>
      <c r="E35" s="227">
        <v>-28.689646508132896</v>
      </c>
      <c r="F35" s="227">
        <v>-14.344823254066448</v>
      </c>
      <c r="G35" s="227">
        <v>-28.689646508132896</v>
      </c>
      <c r="H35" s="227">
        <v>-43.03446976219935</v>
      </c>
      <c r="I35" s="227">
        <v>-100.41376277846513</v>
      </c>
      <c r="J35" s="227">
        <v>-71.724116270332232</v>
      </c>
      <c r="K35" s="227">
        <v>-28.689646508132896</v>
      </c>
      <c r="L35" s="227">
        <v>-43.03446976219935</v>
      </c>
      <c r="M35" s="227">
        <v>-14.344823254066448</v>
      </c>
      <c r="N35" s="227">
        <v>-28.689646508132896</v>
      </c>
      <c r="O35" s="228">
        <v>-473.37916738419284</v>
      </c>
    </row>
    <row r="36" spans="1:15" x14ac:dyDescent="0.2">
      <c r="A36" s="224"/>
      <c r="B36" s="225" t="s">
        <v>27</v>
      </c>
      <c r="C36" s="226">
        <v>-429.3748318868677</v>
      </c>
      <c r="D36" s="227">
        <v>-644.062247830302</v>
      </c>
      <c r="E36" s="227">
        <v>-429.3748318868677</v>
      </c>
      <c r="F36" s="227">
        <v>-214.68741594343385</v>
      </c>
      <c r="G36" s="227">
        <v>-429.3748318868677</v>
      </c>
      <c r="H36" s="227">
        <v>-644.062247830302</v>
      </c>
      <c r="I36" s="227">
        <v>-1502.8119116040355</v>
      </c>
      <c r="J36" s="227">
        <v>-1073.4370797171687</v>
      </c>
      <c r="K36" s="227">
        <v>-429.3748318868677</v>
      </c>
      <c r="L36" s="227">
        <v>-644.062247830302</v>
      </c>
      <c r="M36" s="227">
        <v>-214.68741594343385</v>
      </c>
      <c r="N36" s="227">
        <v>-429.3748318868677</v>
      </c>
      <c r="O36" s="228">
        <v>-7084.684726133316</v>
      </c>
    </row>
    <row r="37" spans="1:15" x14ac:dyDescent="0.2">
      <c r="A37" s="224"/>
      <c r="B37" s="225" t="s">
        <v>51</v>
      </c>
      <c r="C37" s="229">
        <v>3725.1256390875083</v>
      </c>
      <c r="D37" s="77">
        <v>5587.6884586312626</v>
      </c>
      <c r="E37" s="77">
        <v>3725.1256390875083</v>
      </c>
      <c r="F37" s="77">
        <v>1862.5628195437541</v>
      </c>
      <c r="G37" s="77">
        <v>3725.1256390875083</v>
      </c>
      <c r="H37" s="77">
        <v>5587.6884586312626</v>
      </c>
      <c r="I37" s="77">
        <v>13037.939736806278</v>
      </c>
      <c r="J37" s="77">
        <v>9312.8140977187704</v>
      </c>
      <c r="K37" s="77">
        <v>3725.1256390875083</v>
      </c>
      <c r="L37" s="77">
        <v>5587.6884586312626</v>
      </c>
      <c r="M37" s="77">
        <v>1862.5628195437541</v>
      </c>
      <c r="N37" s="77">
        <v>3725.1256390875083</v>
      </c>
      <c r="O37" s="230">
        <v>61464.573044943878</v>
      </c>
    </row>
    <row r="38" spans="1:15" x14ac:dyDescent="0.2">
      <c r="A38" s="224"/>
      <c r="B38" s="225" t="s">
        <v>91</v>
      </c>
      <c r="C38" s="229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230">
        <v>0</v>
      </c>
    </row>
    <row r="39" spans="1:15" x14ac:dyDescent="0.2">
      <c r="A39" s="224"/>
      <c r="B39" s="225" t="s">
        <v>93</v>
      </c>
      <c r="C39" s="229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230">
        <v>0</v>
      </c>
    </row>
    <row r="40" spans="1:15" x14ac:dyDescent="0.2">
      <c r="A40" s="214" t="s">
        <v>19</v>
      </c>
      <c r="B40" s="214" t="s">
        <v>72</v>
      </c>
      <c r="C40" s="221">
        <v>116355.41587980707</v>
      </c>
      <c r="D40" s="222">
        <v>83111.011342719343</v>
      </c>
      <c r="E40" s="222">
        <v>111368.75519924391</v>
      </c>
      <c r="F40" s="222">
        <v>118017.63610666146</v>
      </c>
      <c r="G40" s="222">
        <v>106382.09451868075</v>
      </c>
      <c r="H40" s="222">
        <v>119679.85633351584</v>
      </c>
      <c r="I40" s="222">
        <v>18284.422495398256</v>
      </c>
      <c r="J40" s="222">
        <v>103057.65406497198</v>
      </c>
      <c r="K40" s="222">
        <v>119679.85633351584</v>
      </c>
      <c r="L40" s="222">
        <v>119679.85633351584</v>
      </c>
      <c r="M40" s="222">
        <v>111368.75519924391</v>
      </c>
      <c r="N40" s="222">
        <v>113030.9754260983</v>
      </c>
      <c r="O40" s="223">
        <v>1240016.2892333725</v>
      </c>
    </row>
    <row r="41" spans="1:15" x14ac:dyDescent="0.2">
      <c r="A41" s="224"/>
      <c r="B41" s="225" t="s">
        <v>25</v>
      </c>
      <c r="C41" s="226">
        <v>-14023.981488255711</v>
      </c>
      <c r="D41" s="227">
        <v>-10017.129634468365</v>
      </c>
      <c r="E41" s="227">
        <v>-13422.953710187619</v>
      </c>
      <c r="F41" s="227">
        <v>-14224.32408094508</v>
      </c>
      <c r="G41" s="227">
        <v>-12821.925932119513</v>
      </c>
      <c r="H41" s="227">
        <v>-14424.666673634463</v>
      </c>
      <c r="I41" s="227">
        <v>-2203.7685195830381</v>
      </c>
      <c r="J41" s="227">
        <v>-12421.240746740776</v>
      </c>
      <c r="K41" s="227">
        <v>-14424.666673634463</v>
      </c>
      <c r="L41" s="227">
        <v>-14424.666673634463</v>
      </c>
      <c r="M41" s="227">
        <v>-13422.953710187619</v>
      </c>
      <c r="N41" s="227">
        <v>-13623.296302876974</v>
      </c>
      <c r="O41" s="228">
        <v>-149455.57414626807</v>
      </c>
    </row>
    <row r="42" spans="1:15" x14ac:dyDescent="0.2">
      <c r="A42" s="224"/>
      <c r="B42" s="225" t="s">
        <v>26</v>
      </c>
      <c r="C42" s="226">
        <v>-1004.1376277846514</v>
      </c>
      <c r="D42" s="227">
        <v>-717.2411627033224</v>
      </c>
      <c r="E42" s="227">
        <v>-961.10315802245213</v>
      </c>
      <c r="F42" s="227">
        <v>-1018.4824510387178</v>
      </c>
      <c r="G42" s="227">
        <v>-918.06868826025266</v>
      </c>
      <c r="H42" s="227">
        <v>-1032.8272742927843</v>
      </c>
      <c r="I42" s="227">
        <v>-157.79305579473095</v>
      </c>
      <c r="J42" s="227">
        <v>-889.37904175211986</v>
      </c>
      <c r="K42" s="227">
        <v>-1032.8272742927843</v>
      </c>
      <c r="L42" s="227">
        <v>-1032.8272742927843</v>
      </c>
      <c r="M42" s="227">
        <v>-961.10315802245213</v>
      </c>
      <c r="N42" s="227">
        <v>-975.44798127651848</v>
      </c>
      <c r="O42" s="228">
        <v>-10701.23814753357</v>
      </c>
    </row>
    <row r="43" spans="1:15" x14ac:dyDescent="0.2">
      <c r="A43" s="224"/>
      <c r="B43" s="225" t="s">
        <v>27</v>
      </c>
      <c r="C43" s="226">
        <v>-15028.119116040363</v>
      </c>
      <c r="D43" s="227">
        <v>-10734.370797171687</v>
      </c>
      <c r="E43" s="227">
        <v>-14384.056868210071</v>
      </c>
      <c r="F43" s="227">
        <v>-15242.806531983797</v>
      </c>
      <c r="G43" s="227">
        <v>-13739.994620379766</v>
      </c>
      <c r="H43" s="227">
        <v>-15457.493947927247</v>
      </c>
      <c r="I43" s="227">
        <v>-2361.5615753777693</v>
      </c>
      <c r="J43" s="227">
        <v>-13310.619788492895</v>
      </c>
      <c r="K43" s="227">
        <v>-15457.493947927247</v>
      </c>
      <c r="L43" s="227">
        <v>-15457.493947927247</v>
      </c>
      <c r="M43" s="227">
        <v>-14384.056868210071</v>
      </c>
      <c r="N43" s="227">
        <v>-14598.744284153492</v>
      </c>
      <c r="O43" s="228">
        <v>-160156.81229380166</v>
      </c>
    </row>
    <row r="44" spans="1:15" x14ac:dyDescent="0.2">
      <c r="A44" s="224"/>
      <c r="B44" s="225" t="s">
        <v>51</v>
      </c>
      <c r="C44" s="229">
        <v>130379.39736806278</v>
      </c>
      <c r="D44" s="77">
        <v>93128.140977187708</v>
      </c>
      <c r="E44" s="77">
        <v>124791.70890943153</v>
      </c>
      <c r="F44" s="77">
        <v>132241.96018760654</v>
      </c>
      <c r="G44" s="77">
        <v>119204.02045080026</v>
      </c>
      <c r="H44" s="77">
        <v>134104.5230071503</v>
      </c>
      <c r="I44" s="77">
        <v>20488.191014981294</v>
      </c>
      <c r="J44" s="77">
        <v>115478.89481171276</v>
      </c>
      <c r="K44" s="77">
        <v>134104.5230071503</v>
      </c>
      <c r="L44" s="77">
        <v>134104.5230071503</v>
      </c>
      <c r="M44" s="77">
        <v>124791.70890943153</v>
      </c>
      <c r="N44" s="77">
        <v>126654.27172897528</v>
      </c>
      <c r="O44" s="230">
        <v>1389471.8633796405</v>
      </c>
    </row>
    <row r="45" spans="1:15" x14ac:dyDescent="0.2">
      <c r="A45" s="224"/>
      <c r="B45" s="225" t="s">
        <v>91</v>
      </c>
      <c r="C45" s="229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230">
        <v>0</v>
      </c>
    </row>
    <row r="46" spans="1:15" x14ac:dyDescent="0.2">
      <c r="A46" s="224"/>
      <c r="B46" s="225" t="s">
        <v>93</v>
      </c>
      <c r="C46" s="229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230">
        <v>0</v>
      </c>
    </row>
    <row r="47" spans="1:15" x14ac:dyDescent="0.2">
      <c r="A47" s="214" t="s">
        <v>8</v>
      </c>
      <c r="B47" s="214" t="s">
        <v>72</v>
      </c>
      <c r="C47" s="221">
        <v>147937.60019004042</v>
      </c>
      <c r="D47" s="222">
        <v>169546.46313914744</v>
      </c>
      <c r="E47" s="222">
        <v>106382.09451868075</v>
      </c>
      <c r="F47" s="222">
        <v>118017.63610666146</v>
      </c>
      <c r="G47" s="222">
        <v>179519.78450027376</v>
      </c>
      <c r="H47" s="222">
        <v>216088.62949107029</v>
      </c>
      <c r="I47" s="222">
        <v>250995.25425501241</v>
      </c>
      <c r="J47" s="222">
        <v>241021.93289388609</v>
      </c>
      <c r="K47" s="222">
        <v>209439.74858365272</v>
      </c>
      <c r="L47" s="222">
        <v>176195.34404656501</v>
      </c>
      <c r="M47" s="222">
        <v>111368.75519924391</v>
      </c>
      <c r="N47" s="222">
        <v>136302.05860205973</v>
      </c>
      <c r="O47" s="223">
        <v>2062815.3015262941</v>
      </c>
    </row>
    <row r="48" spans="1:15" x14ac:dyDescent="0.2">
      <c r="A48" s="224"/>
      <c r="B48" s="225" t="s">
        <v>25</v>
      </c>
      <c r="C48" s="226">
        <v>-17830.490749353688</v>
      </c>
      <c r="D48" s="227">
        <v>-20434.944454315468</v>
      </c>
      <c r="E48" s="227">
        <v>-12821.925932119513</v>
      </c>
      <c r="F48" s="227">
        <v>-14224.32408094508</v>
      </c>
      <c r="G48" s="227">
        <v>-21637.00001045168</v>
      </c>
      <c r="H48" s="227">
        <v>-26044.537049617764</v>
      </c>
      <c r="I48" s="227">
        <v>-30251.731496094464</v>
      </c>
      <c r="J48" s="227">
        <v>-29049.675939958281</v>
      </c>
      <c r="K48" s="227">
        <v>-25243.166678860289</v>
      </c>
      <c r="L48" s="227">
        <v>-21236.314825072943</v>
      </c>
      <c r="M48" s="227">
        <v>-13422.953710187619</v>
      </c>
      <c r="N48" s="227">
        <v>-16428.092600528122</v>
      </c>
      <c r="O48" s="228">
        <v>-248625.15752750493</v>
      </c>
    </row>
    <row r="49" spans="1:15" x14ac:dyDescent="0.2">
      <c r="A49" s="224"/>
      <c r="B49" s="225" t="s">
        <v>26</v>
      </c>
      <c r="C49" s="226">
        <v>-1276.6892696119139</v>
      </c>
      <c r="D49" s="227">
        <v>-1463.1719719147777</v>
      </c>
      <c r="E49" s="227">
        <v>-918.06868826025266</v>
      </c>
      <c r="F49" s="227">
        <v>-1018.4824510387178</v>
      </c>
      <c r="G49" s="227">
        <v>-1549.2409114391764</v>
      </c>
      <c r="H49" s="227">
        <v>-1864.8270230286382</v>
      </c>
      <c r="I49" s="227">
        <v>-2166.0683113640339</v>
      </c>
      <c r="J49" s="227">
        <v>-2079.9993718396349</v>
      </c>
      <c r="K49" s="227">
        <v>-1807.4477300123726</v>
      </c>
      <c r="L49" s="227">
        <v>-1520.5512649310435</v>
      </c>
      <c r="M49" s="227">
        <v>-961.10315802245213</v>
      </c>
      <c r="N49" s="227">
        <v>-1176.2755068334488</v>
      </c>
      <c r="O49" s="228">
        <v>-17801.925658296463</v>
      </c>
    </row>
    <row r="50" spans="1:15" x14ac:dyDescent="0.2">
      <c r="A50" s="224"/>
      <c r="B50" s="225" t="s">
        <v>27</v>
      </c>
      <c r="C50" s="226">
        <v>-19107.180018965602</v>
      </c>
      <c r="D50" s="227">
        <v>-21898.116426230245</v>
      </c>
      <c r="E50" s="227">
        <v>-13739.994620379766</v>
      </c>
      <c r="F50" s="227">
        <v>-15242.806531983797</v>
      </c>
      <c r="G50" s="227">
        <v>-23186.240921890858</v>
      </c>
      <c r="H50" s="227">
        <v>-27909.364072646404</v>
      </c>
      <c r="I50" s="227">
        <v>-32417.799807458498</v>
      </c>
      <c r="J50" s="227">
        <v>-31129.675311797917</v>
      </c>
      <c r="K50" s="227">
        <v>-27050.614408872661</v>
      </c>
      <c r="L50" s="227">
        <v>-22756.866090003987</v>
      </c>
      <c r="M50" s="227">
        <v>-14384.056868210071</v>
      </c>
      <c r="N50" s="227">
        <v>-17604.36810736157</v>
      </c>
      <c r="O50" s="228">
        <v>-266427.08318580134</v>
      </c>
    </row>
    <row r="51" spans="1:15" x14ac:dyDescent="0.2">
      <c r="A51" s="224"/>
      <c r="B51" s="225" t="s">
        <v>51</v>
      </c>
      <c r="C51" s="229">
        <v>165768.09093939411</v>
      </c>
      <c r="D51" s="77">
        <v>189981.40759346291</v>
      </c>
      <c r="E51" s="77">
        <v>119204.02045080026</v>
      </c>
      <c r="F51" s="77">
        <v>132241.96018760654</v>
      </c>
      <c r="G51" s="77">
        <v>201156.78451072544</v>
      </c>
      <c r="H51" s="77">
        <v>242133.16654068805</v>
      </c>
      <c r="I51" s="77">
        <v>281246.98575110687</v>
      </c>
      <c r="J51" s="77">
        <v>270071.60883384437</v>
      </c>
      <c r="K51" s="77">
        <v>234682.91526251301</v>
      </c>
      <c r="L51" s="77">
        <v>197431.65887163795</v>
      </c>
      <c r="M51" s="77">
        <v>124791.70890943153</v>
      </c>
      <c r="N51" s="77">
        <v>152730.15120258785</v>
      </c>
      <c r="O51" s="230">
        <v>2311440.459053799</v>
      </c>
    </row>
    <row r="52" spans="1:15" x14ac:dyDescent="0.2">
      <c r="A52" s="224"/>
      <c r="B52" s="225" t="s">
        <v>91</v>
      </c>
      <c r="C52" s="229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77">
        <v>0</v>
      </c>
      <c r="N52" s="77">
        <v>0</v>
      </c>
      <c r="O52" s="230">
        <v>0</v>
      </c>
    </row>
    <row r="53" spans="1:15" x14ac:dyDescent="0.2">
      <c r="A53" s="224"/>
      <c r="B53" s="225" t="s">
        <v>93</v>
      </c>
      <c r="C53" s="229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230">
        <v>0</v>
      </c>
    </row>
    <row r="54" spans="1:15" x14ac:dyDescent="0.2">
      <c r="A54" s="214" t="s">
        <v>21</v>
      </c>
      <c r="B54" s="214" t="s">
        <v>72</v>
      </c>
      <c r="C54" s="221">
        <v>4888589.6871787515</v>
      </c>
      <c r="D54" s="222">
        <v>5354011.3506979793</v>
      </c>
      <c r="E54" s="222">
        <v>4020910.7287607617</v>
      </c>
      <c r="F54" s="222">
        <v>4516252.3563633692</v>
      </c>
      <c r="G54" s="222">
        <v>5614979.9263141183</v>
      </c>
      <c r="H54" s="222">
        <v>6356330.1474911748</v>
      </c>
      <c r="I54" s="222">
        <v>6831725.1323715299</v>
      </c>
      <c r="J54" s="222">
        <v>6808454.0491955681</v>
      </c>
      <c r="K54" s="222">
        <v>6078739.3696064921</v>
      </c>
      <c r="L54" s="222">
        <v>5420500.1597721549</v>
      </c>
      <c r="M54" s="222">
        <v>4070777.3355663931</v>
      </c>
      <c r="N54" s="222">
        <v>4682474.3790488075</v>
      </c>
      <c r="O54" s="223">
        <v>64643744.622367106</v>
      </c>
    </row>
    <row r="55" spans="1:15" x14ac:dyDescent="0.2">
      <c r="A55" s="224"/>
      <c r="B55" s="225" t="s">
        <v>25</v>
      </c>
      <c r="C55" s="226">
        <v>-589207.56509942934</v>
      </c>
      <c r="D55" s="227">
        <v>-645303.49105245247</v>
      </c>
      <c r="E55" s="227">
        <v>-484628.73171557998</v>
      </c>
      <c r="F55" s="227">
        <v>-544330.8243370112</v>
      </c>
      <c r="G55" s="227">
        <v>-676757.27810468338</v>
      </c>
      <c r="H55" s="227">
        <v>-766110.07444414124</v>
      </c>
      <c r="I55" s="227">
        <v>-823408.05595329963</v>
      </c>
      <c r="J55" s="227">
        <v>-820603.25965564884</v>
      </c>
      <c r="K55" s="227">
        <v>-732652.86146501638</v>
      </c>
      <c r="L55" s="227">
        <v>-653317.19476002734</v>
      </c>
      <c r="M55" s="227">
        <v>-490639.00949626043</v>
      </c>
      <c r="N55" s="227">
        <v>-564365.0836059479</v>
      </c>
      <c r="O55" s="228">
        <v>-7791323.4296894986</v>
      </c>
    </row>
    <row r="56" spans="1:15" x14ac:dyDescent="0.2">
      <c r="A56" s="224"/>
      <c r="B56" s="225" t="s">
        <v>26</v>
      </c>
      <c r="C56" s="226">
        <v>-42188.12519020943</v>
      </c>
      <c r="D56" s="227">
        <v>-46204.675701348031</v>
      </c>
      <c r="E56" s="227">
        <v>-34700.127451586741</v>
      </c>
      <c r="F56" s="227">
        <v>-38974.88478129854</v>
      </c>
      <c r="G56" s="227">
        <v>-48456.812952236462</v>
      </c>
      <c r="H56" s="227">
        <v>-54854.604123550103</v>
      </c>
      <c r="I56" s="227">
        <v>-58957.223574213102</v>
      </c>
      <c r="J56" s="227">
        <v>-58756.39604865617</v>
      </c>
      <c r="K56" s="227">
        <v>-52459.018640121001</v>
      </c>
      <c r="L56" s="227">
        <v>-46778.468631510688</v>
      </c>
      <c r="M56" s="227">
        <v>-35130.472149208734</v>
      </c>
      <c r="N56" s="227">
        <v>-40409.367106705184</v>
      </c>
      <c r="O56" s="228">
        <v>-557870.17635064421</v>
      </c>
    </row>
    <row r="57" spans="1:15" x14ac:dyDescent="0.2">
      <c r="A57" s="224"/>
      <c r="B57" s="225" t="s">
        <v>27</v>
      </c>
      <c r="C57" s="226">
        <v>-631395.69028963882</v>
      </c>
      <c r="D57" s="227">
        <v>-691508.16675380047</v>
      </c>
      <c r="E57" s="227">
        <v>-519328.85916716675</v>
      </c>
      <c r="F57" s="227">
        <v>-583305.70911830978</v>
      </c>
      <c r="G57" s="227">
        <v>-725214.09105691989</v>
      </c>
      <c r="H57" s="227">
        <v>-820964.67856769136</v>
      </c>
      <c r="I57" s="227">
        <v>-882365.27952751273</v>
      </c>
      <c r="J57" s="227">
        <v>-879359.65570430504</v>
      </c>
      <c r="K57" s="227">
        <v>-785111.88010513736</v>
      </c>
      <c r="L57" s="227">
        <v>-700095.66339153808</v>
      </c>
      <c r="M57" s="227">
        <v>-525769.4816454692</v>
      </c>
      <c r="N57" s="227">
        <v>-604774.45071265311</v>
      </c>
      <c r="O57" s="228">
        <v>-8349193.6060401434</v>
      </c>
    </row>
    <row r="58" spans="1:15" x14ac:dyDescent="0.2">
      <c r="A58" s="224"/>
      <c r="B58" s="225" t="s">
        <v>51</v>
      </c>
      <c r="C58" s="229">
        <v>5477797.2522781808</v>
      </c>
      <c r="D58" s="77">
        <v>5999314.8417504318</v>
      </c>
      <c r="E58" s="77">
        <v>4505539.4604763417</v>
      </c>
      <c r="F58" s="77">
        <v>5060583.1807003804</v>
      </c>
      <c r="G58" s="77">
        <v>6291737.2044188017</v>
      </c>
      <c r="H58" s="77">
        <v>7122440.221935316</v>
      </c>
      <c r="I58" s="77">
        <v>7655133.1883248296</v>
      </c>
      <c r="J58" s="77">
        <v>7629057.3088512169</v>
      </c>
      <c r="K58" s="77">
        <v>6811392.2310715085</v>
      </c>
      <c r="L58" s="77">
        <v>6073817.3545321822</v>
      </c>
      <c r="M58" s="77">
        <v>4561416.3450626535</v>
      </c>
      <c r="N58" s="77">
        <v>5246839.4626547555</v>
      </c>
      <c r="O58" s="230">
        <v>72435068.052056596</v>
      </c>
    </row>
    <row r="59" spans="1:15" x14ac:dyDescent="0.2">
      <c r="A59" s="224"/>
      <c r="B59" s="225" t="s">
        <v>91</v>
      </c>
      <c r="C59" s="229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>
        <v>0</v>
      </c>
      <c r="M59" s="77">
        <v>0</v>
      </c>
      <c r="N59" s="77">
        <v>0</v>
      </c>
      <c r="O59" s="230">
        <v>0</v>
      </c>
    </row>
    <row r="60" spans="1:15" x14ac:dyDescent="0.2">
      <c r="A60" s="224"/>
      <c r="B60" s="225" t="s">
        <v>93</v>
      </c>
      <c r="C60" s="229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230">
        <v>0</v>
      </c>
    </row>
    <row r="61" spans="1:15" x14ac:dyDescent="0.2">
      <c r="A61" s="214" t="s">
        <v>22</v>
      </c>
      <c r="B61" s="214" t="s">
        <v>72</v>
      </c>
      <c r="C61" s="221">
        <v>5674819.8544808766</v>
      </c>
      <c r="D61" s="222">
        <v>5535193.3554251082</v>
      </c>
      <c r="E61" s="222">
        <v>4127292.8232794423</v>
      </c>
      <c r="F61" s="222">
        <v>4236999.3582518315</v>
      </c>
      <c r="G61" s="222">
        <v>4998296.2221511407</v>
      </c>
      <c r="H61" s="222">
        <v>5613317.7060872642</v>
      </c>
      <c r="I61" s="222">
        <v>6188445.9045788823</v>
      </c>
      <c r="J61" s="222">
        <v>6175148.1427640468</v>
      </c>
      <c r="K61" s="222">
        <v>5412189.0586378835</v>
      </c>
      <c r="L61" s="222">
        <v>5009931.7637391221</v>
      </c>
      <c r="M61" s="222">
        <v>3886270.890385556</v>
      </c>
      <c r="N61" s="222">
        <v>4935131.8535306742</v>
      </c>
      <c r="O61" s="223">
        <v>61793036.933311835</v>
      </c>
    </row>
    <row r="62" spans="1:15" x14ac:dyDescent="0.2">
      <c r="A62" s="224"/>
      <c r="B62" s="225" t="s">
        <v>25</v>
      </c>
      <c r="C62" s="226">
        <v>-683969.61144149955</v>
      </c>
      <c r="D62" s="227">
        <v>-667140.83365559299</v>
      </c>
      <c r="E62" s="227">
        <v>-497450.65764769912</v>
      </c>
      <c r="F62" s="227">
        <v>-510673.26876519807</v>
      </c>
      <c r="G62" s="227">
        <v>-602430.17621692829</v>
      </c>
      <c r="H62" s="227">
        <v>-676556.93551199324</v>
      </c>
      <c r="I62" s="227">
        <v>-745875.4725825144</v>
      </c>
      <c r="J62" s="227">
        <v>-744272.7318409998</v>
      </c>
      <c r="K62" s="227">
        <v>-652315.48179658037</v>
      </c>
      <c r="L62" s="227">
        <v>-603832.57436575275</v>
      </c>
      <c r="M62" s="227">
        <v>-468400.98170774151</v>
      </c>
      <c r="N62" s="227">
        <v>-594817.15769473184</v>
      </c>
      <c r="O62" s="228">
        <v>-7447735.8832272319</v>
      </c>
    </row>
    <row r="63" spans="1:15" x14ac:dyDescent="0.2">
      <c r="A63" s="224"/>
      <c r="B63" s="225" t="s">
        <v>26</v>
      </c>
      <c r="C63" s="226">
        <v>-48973.226589382859</v>
      </c>
      <c r="D63" s="227">
        <v>-47768.261436041277</v>
      </c>
      <c r="E63" s="227">
        <v>-35618.196139846994</v>
      </c>
      <c r="F63" s="227">
        <v>-36564.954474615377</v>
      </c>
      <c r="G63" s="227">
        <v>-43134.883524977806</v>
      </c>
      <c r="H63" s="227">
        <v>-48442.4681289824</v>
      </c>
      <c r="I63" s="227">
        <v>-53405.776974889392</v>
      </c>
      <c r="J63" s="227">
        <v>-53291.018388856857</v>
      </c>
      <c r="K63" s="227">
        <v>-46706.74451524036</v>
      </c>
      <c r="L63" s="227">
        <v>-43235.297287756272</v>
      </c>
      <c r="M63" s="227">
        <v>-33538.196768007358</v>
      </c>
      <c r="N63" s="227">
        <v>-42589.780241323286</v>
      </c>
      <c r="O63" s="228">
        <v>-533268.80446992023</v>
      </c>
    </row>
    <row r="64" spans="1:15" x14ac:dyDescent="0.2">
      <c r="A64" s="224"/>
      <c r="B64" s="225" t="s">
        <v>27</v>
      </c>
      <c r="C64" s="226">
        <v>-732942.83803088241</v>
      </c>
      <c r="D64" s="227">
        <v>-714909.09509163431</v>
      </c>
      <c r="E64" s="227">
        <v>-533068.85378754616</v>
      </c>
      <c r="F64" s="227">
        <v>-547238.22323981347</v>
      </c>
      <c r="G64" s="227">
        <v>-645565.05974190612</v>
      </c>
      <c r="H64" s="227">
        <v>-724999.40364097559</v>
      </c>
      <c r="I64" s="227">
        <v>-799281.24955740385</v>
      </c>
      <c r="J64" s="227">
        <v>-797563.7502298567</v>
      </c>
      <c r="K64" s="227">
        <v>-699022.22631182068</v>
      </c>
      <c r="L64" s="227">
        <v>-647067.87165350898</v>
      </c>
      <c r="M64" s="227">
        <v>-501939.17847574886</v>
      </c>
      <c r="N64" s="227">
        <v>-637406.93793605512</v>
      </c>
      <c r="O64" s="228">
        <v>-7981004.6876971535</v>
      </c>
    </row>
    <row r="65" spans="1:15" x14ac:dyDescent="0.2">
      <c r="A65" s="224"/>
      <c r="B65" s="225" t="s">
        <v>51</v>
      </c>
      <c r="C65" s="229">
        <v>6358789.4659223761</v>
      </c>
      <c r="D65" s="77">
        <v>6202334.1890807012</v>
      </c>
      <c r="E65" s="77">
        <v>4624743.4809271414</v>
      </c>
      <c r="F65" s="77">
        <v>4747672.6270170296</v>
      </c>
      <c r="G65" s="77">
        <v>5600726.398368069</v>
      </c>
      <c r="H65" s="77">
        <v>6289874.6415992575</v>
      </c>
      <c r="I65" s="77">
        <v>6934321.3771613967</v>
      </c>
      <c r="J65" s="77">
        <v>6919420.8746050466</v>
      </c>
      <c r="K65" s="77">
        <v>6064504.5404344639</v>
      </c>
      <c r="L65" s="77">
        <v>5613764.3381048748</v>
      </c>
      <c r="M65" s="77">
        <v>4354671.8720932975</v>
      </c>
      <c r="N65" s="77">
        <v>5529949.0112254061</v>
      </c>
      <c r="O65" s="230">
        <v>69240772.816539064</v>
      </c>
    </row>
    <row r="66" spans="1:15" x14ac:dyDescent="0.2">
      <c r="A66" s="224"/>
      <c r="B66" s="225" t="s">
        <v>91</v>
      </c>
      <c r="C66" s="229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230">
        <v>0</v>
      </c>
    </row>
    <row r="67" spans="1:15" x14ac:dyDescent="0.2">
      <c r="A67" s="224"/>
      <c r="B67" s="225" t="s">
        <v>93</v>
      </c>
      <c r="C67" s="229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0</v>
      </c>
      <c r="O67" s="230">
        <v>0</v>
      </c>
    </row>
    <row r="68" spans="1:15" x14ac:dyDescent="0.2">
      <c r="A68" s="214" t="s">
        <v>9</v>
      </c>
      <c r="B68" s="214" t="s">
        <v>72</v>
      </c>
      <c r="C68" s="221">
        <v>111368.75519924391</v>
      </c>
      <c r="D68" s="222">
        <v>118017.63610666146</v>
      </c>
      <c r="E68" s="222">
        <v>81448.791115864951</v>
      </c>
      <c r="F68" s="222">
        <v>61502.148393612311</v>
      </c>
      <c r="G68" s="222">
        <v>83111.011342719343</v>
      </c>
      <c r="H68" s="222">
        <v>89759.89225013688</v>
      </c>
      <c r="I68" s="222">
        <v>103057.65406497198</v>
      </c>
      <c r="J68" s="222">
        <v>91422.112476991271</v>
      </c>
      <c r="K68" s="222">
        <v>83111.011342719343</v>
      </c>
      <c r="L68" s="222">
        <v>78124.350662156183</v>
      </c>
      <c r="M68" s="222">
        <v>79786.57088901056</v>
      </c>
      <c r="N68" s="222">
        <v>96408.773157554431</v>
      </c>
      <c r="O68" s="223">
        <v>1077118.7070016426</v>
      </c>
    </row>
    <row r="69" spans="1:15" x14ac:dyDescent="0.2">
      <c r="A69" s="224"/>
      <c r="B69" s="225" t="s">
        <v>25</v>
      </c>
      <c r="C69" s="226">
        <v>-13422.953710187619</v>
      </c>
      <c r="D69" s="227">
        <v>-14224.32408094508</v>
      </c>
      <c r="E69" s="227">
        <v>-9816.7870417789964</v>
      </c>
      <c r="F69" s="227">
        <v>-7412.6759295065858</v>
      </c>
      <c r="G69" s="227">
        <v>-10017.129634468365</v>
      </c>
      <c r="H69" s="227">
        <v>-10818.50000522584</v>
      </c>
      <c r="I69" s="227">
        <v>-12421.240746740776</v>
      </c>
      <c r="J69" s="227">
        <v>-11018.842597915209</v>
      </c>
      <c r="K69" s="227">
        <v>-10017.129634468365</v>
      </c>
      <c r="L69" s="227">
        <v>-9416.1018564002588</v>
      </c>
      <c r="M69" s="227">
        <v>-9616.4444490896421</v>
      </c>
      <c r="N69" s="227">
        <v>-11619.870375983315</v>
      </c>
      <c r="O69" s="228">
        <v>-129822.00006271005</v>
      </c>
    </row>
    <row r="70" spans="1:15" x14ac:dyDescent="0.2">
      <c r="A70" s="224"/>
      <c r="B70" s="225" t="s">
        <v>26</v>
      </c>
      <c r="C70" s="226">
        <v>-961.10315802245213</v>
      </c>
      <c r="D70" s="227">
        <v>-1018.4824510387178</v>
      </c>
      <c r="E70" s="227">
        <v>-702.89633944925595</v>
      </c>
      <c r="F70" s="227">
        <v>-530.7584604004586</v>
      </c>
      <c r="G70" s="227">
        <v>-717.2411627033224</v>
      </c>
      <c r="H70" s="227">
        <v>-774.62045571958822</v>
      </c>
      <c r="I70" s="227">
        <v>-889.37904175211986</v>
      </c>
      <c r="J70" s="227">
        <v>-788.96527897365479</v>
      </c>
      <c r="K70" s="227">
        <v>-717.2411627033224</v>
      </c>
      <c r="L70" s="227">
        <v>-674.20669294112304</v>
      </c>
      <c r="M70" s="227">
        <v>-688.55151619518961</v>
      </c>
      <c r="N70" s="227">
        <v>-831.99974873585404</v>
      </c>
      <c r="O70" s="228">
        <v>-9295.4454686350582</v>
      </c>
    </row>
    <row r="71" spans="1:15" x14ac:dyDescent="0.2">
      <c r="A71" s="224"/>
      <c r="B71" s="225" t="s">
        <v>27</v>
      </c>
      <c r="C71" s="226">
        <v>-14384.056868210071</v>
      </c>
      <c r="D71" s="227">
        <v>-15242.806531983797</v>
      </c>
      <c r="E71" s="227">
        <v>-10519.683381228253</v>
      </c>
      <c r="F71" s="227">
        <v>-7943.4343899070445</v>
      </c>
      <c r="G71" s="227">
        <v>-10734.370797171687</v>
      </c>
      <c r="H71" s="227">
        <v>-11593.120460945429</v>
      </c>
      <c r="I71" s="227">
        <v>-13310.619788492895</v>
      </c>
      <c r="J71" s="227">
        <v>-11807.807876888864</v>
      </c>
      <c r="K71" s="227">
        <v>-10734.370797171687</v>
      </c>
      <c r="L71" s="227">
        <v>-10090.308549341382</v>
      </c>
      <c r="M71" s="227">
        <v>-10304.995965284832</v>
      </c>
      <c r="N71" s="227">
        <v>-12451.870124719169</v>
      </c>
      <c r="O71" s="228">
        <v>-139117.44553134512</v>
      </c>
    </row>
    <row r="72" spans="1:15" x14ac:dyDescent="0.2">
      <c r="A72" s="224"/>
      <c r="B72" s="225" t="s">
        <v>51</v>
      </c>
      <c r="C72" s="229">
        <v>124791.70890943153</v>
      </c>
      <c r="D72" s="77">
        <v>132241.96018760654</v>
      </c>
      <c r="E72" s="77">
        <v>91265.578157643948</v>
      </c>
      <c r="F72" s="77">
        <v>68914.824323118897</v>
      </c>
      <c r="G72" s="77">
        <v>93128.140977187708</v>
      </c>
      <c r="H72" s="77">
        <v>100578.39225536272</v>
      </c>
      <c r="I72" s="77">
        <v>115478.89481171276</v>
      </c>
      <c r="J72" s="77">
        <v>102440.95507490648</v>
      </c>
      <c r="K72" s="77">
        <v>93128.140977187708</v>
      </c>
      <c r="L72" s="77">
        <v>87540.452518556442</v>
      </c>
      <c r="M72" s="77">
        <v>89403.015338100202</v>
      </c>
      <c r="N72" s="77">
        <v>108028.64353353775</v>
      </c>
      <c r="O72" s="230">
        <v>1206940.7070643529</v>
      </c>
    </row>
    <row r="73" spans="1:15" x14ac:dyDescent="0.2">
      <c r="A73" s="224"/>
      <c r="B73" s="225" t="s">
        <v>91</v>
      </c>
      <c r="C73" s="229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230">
        <v>0</v>
      </c>
    </row>
    <row r="74" spans="1:15" x14ac:dyDescent="0.2">
      <c r="A74" s="224"/>
      <c r="B74" s="225" t="s">
        <v>93</v>
      </c>
      <c r="C74" s="229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230">
        <v>0</v>
      </c>
    </row>
    <row r="75" spans="1:15" x14ac:dyDescent="0.2">
      <c r="A75" s="214" t="s">
        <v>56</v>
      </c>
      <c r="B75" s="214" t="s">
        <v>72</v>
      </c>
      <c r="C75" s="221">
        <v>227724.17107905098</v>
      </c>
      <c r="D75" s="222">
        <v>259306.35538928432</v>
      </c>
      <c r="E75" s="222">
        <v>187830.8856345457</v>
      </c>
      <c r="F75" s="222">
        <v>186168.66540769133</v>
      </c>
      <c r="G75" s="222">
        <v>236035.27221332293</v>
      </c>
      <c r="H75" s="222">
        <v>274266.33743097383</v>
      </c>
      <c r="I75" s="222">
        <v>307510.74196806154</v>
      </c>
      <c r="J75" s="222">
        <v>317484.06332918786</v>
      </c>
      <c r="K75" s="222">
        <v>232710.83175961414</v>
      </c>
      <c r="L75" s="222">
        <v>227724.17107905098</v>
      </c>
      <c r="M75" s="222">
        <v>199466.4272225264</v>
      </c>
      <c r="N75" s="222">
        <v>212764.1890373615</v>
      </c>
      <c r="O75" s="223">
        <v>2868992.1115506715</v>
      </c>
    </row>
    <row r="76" spans="1:15" x14ac:dyDescent="0.2">
      <c r="A76" s="224"/>
      <c r="B76" s="225" t="s">
        <v>25</v>
      </c>
      <c r="C76" s="229">
        <v>-27446.935198443331</v>
      </c>
      <c r="D76" s="77">
        <v>-31253.444459541352</v>
      </c>
      <c r="E76" s="77">
        <v>-22638.71297389851</v>
      </c>
      <c r="F76" s="77">
        <v>-22438.370381209126</v>
      </c>
      <c r="G76" s="77">
        <v>-28448.64816189016</v>
      </c>
      <c r="H76" s="77">
        <v>-33056.527793745627</v>
      </c>
      <c r="I76" s="77">
        <v>-37063.379647532944</v>
      </c>
      <c r="J76" s="77">
        <v>-38265.435203669185</v>
      </c>
      <c r="K76" s="77">
        <v>-28047.962976511422</v>
      </c>
      <c r="L76" s="77">
        <v>-27446.935198443331</v>
      </c>
      <c r="M76" s="77">
        <v>-24041.111122724105</v>
      </c>
      <c r="N76" s="77">
        <v>-25643.851864239026</v>
      </c>
      <c r="O76" s="230">
        <v>-345791.31498184818</v>
      </c>
    </row>
    <row r="77" spans="1:15" x14ac:dyDescent="0.2">
      <c r="A77" s="224"/>
      <c r="B77" s="225" t="s">
        <v>26</v>
      </c>
      <c r="C77" s="229">
        <v>-1965.2407858071033</v>
      </c>
      <c r="D77" s="77">
        <v>-2237.792427634366</v>
      </c>
      <c r="E77" s="77">
        <v>-1620.9650277095086</v>
      </c>
      <c r="F77" s="77">
        <v>-1606.620204455442</v>
      </c>
      <c r="G77" s="77">
        <v>-2036.9649020774357</v>
      </c>
      <c r="H77" s="77">
        <v>-2366.895836920964</v>
      </c>
      <c r="I77" s="77">
        <v>-2653.7923020022927</v>
      </c>
      <c r="J77" s="77">
        <v>-2739.8612415266916</v>
      </c>
      <c r="K77" s="77">
        <v>-2008.2752555693028</v>
      </c>
      <c r="L77" s="77">
        <v>-1965.2407858071033</v>
      </c>
      <c r="M77" s="77">
        <v>-1721.3787904879737</v>
      </c>
      <c r="N77" s="77">
        <v>-1836.1373765205053</v>
      </c>
      <c r="O77" s="230">
        <v>-24759.16493651869</v>
      </c>
    </row>
    <row r="78" spans="1:15" x14ac:dyDescent="0.2">
      <c r="A78" s="224"/>
      <c r="B78" s="225" t="s">
        <v>27</v>
      </c>
      <c r="C78" s="229">
        <v>-29412.175984250433</v>
      </c>
      <c r="D78" s="77">
        <v>-33491.236887175721</v>
      </c>
      <c r="E78" s="77">
        <v>-24259.678001608019</v>
      </c>
      <c r="F78" s="77">
        <v>-24044.990585664567</v>
      </c>
      <c r="G78" s="77">
        <v>-30485.613063967594</v>
      </c>
      <c r="H78" s="77">
        <v>-35423.423630666592</v>
      </c>
      <c r="I78" s="77">
        <v>-39717.171949535237</v>
      </c>
      <c r="J78" s="77">
        <v>-41005.296445195876</v>
      </c>
      <c r="K78" s="77">
        <v>-30056.238232080726</v>
      </c>
      <c r="L78" s="77">
        <v>-29412.175984250433</v>
      </c>
      <c r="M78" s="77">
        <v>-25762.489913212077</v>
      </c>
      <c r="N78" s="77">
        <v>-27479.989240759533</v>
      </c>
      <c r="O78" s="230">
        <v>-370550.47991836682</v>
      </c>
    </row>
    <row r="79" spans="1:15" x14ac:dyDescent="0.2">
      <c r="A79" s="224"/>
      <c r="B79" s="225" t="s">
        <v>51</v>
      </c>
      <c r="C79" s="229">
        <v>255171.10627749431</v>
      </c>
      <c r="D79" s="77">
        <v>290559.79984882567</v>
      </c>
      <c r="E79" s="77">
        <v>210469.59860844421</v>
      </c>
      <c r="F79" s="77">
        <v>208607.03578890045</v>
      </c>
      <c r="G79" s="77">
        <v>264483.92037521309</v>
      </c>
      <c r="H79" s="77">
        <v>307322.86522471946</v>
      </c>
      <c r="I79" s="77">
        <v>344574.12161559449</v>
      </c>
      <c r="J79" s="77">
        <v>355749.49853285705</v>
      </c>
      <c r="K79" s="77">
        <v>260758.79473612556</v>
      </c>
      <c r="L79" s="77">
        <v>255171.10627749431</v>
      </c>
      <c r="M79" s="77">
        <v>223507.5383452505</v>
      </c>
      <c r="N79" s="77">
        <v>238408.04090160053</v>
      </c>
      <c r="O79" s="230">
        <v>3214783.4265325195</v>
      </c>
    </row>
    <row r="80" spans="1:15" x14ac:dyDescent="0.2">
      <c r="A80" s="224"/>
      <c r="B80" s="225" t="s">
        <v>91</v>
      </c>
      <c r="C80" s="229">
        <v>0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  <c r="N80" s="77">
        <v>0</v>
      </c>
      <c r="O80" s="230">
        <v>0</v>
      </c>
    </row>
    <row r="81" spans="1:15" x14ac:dyDescent="0.2">
      <c r="A81" s="224"/>
      <c r="B81" s="225" t="s">
        <v>93</v>
      </c>
      <c r="C81" s="229">
        <v>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77">
        <v>0</v>
      </c>
      <c r="O81" s="230">
        <v>0</v>
      </c>
    </row>
    <row r="82" spans="1:15" x14ac:dyDescent="0.2">
      <c r="A82" s="214" t="s">
        <v>57</v>
      </c>
      <c r="B82" s="214" t="s">
        <v>72</v>
      </c>
      <c r="C82" s="221">
        <v>18284.422495398256</v>
      </c>
      <c r="D82" s="222">
        <v>14959.98204168948</v>
      </c>
      <c r="E82" s="222">
        <v>13297.761814835094</v>
      </c>
      <c r="F82" s="222">
        <v>16622.202268543868</v>
      </c>
      <c r="G82" s="222">
        <v>18284.422495398256</v>
      </c>
      <c r="H82" s="222">
        <v>18284.422495398256</v>
      </c>
      <c r="I82" s="222">
        <v>23271.083175961416</v>
      </c>
      <c r="J82" s="222">
        <v>18284.422495398256</v>
      </c>
      <c r="K82" s="222">
        <v>19946.64272225264</v>
      </c>
      <c r="L82" s="222">
        <v>21608.862949107028</v>
      </c>
      <c r="M82" s="222">
        <v>16622.202268543868</v>
      </c>
      <c r="N82" s="222">
        <v>11635.541587980708</v>
      </c>
      <c r="O82" s="223">
        <v>211101.96881050713</v>
      </c>
    </row>
    <row r="83" spans="1:15" x14ac:dyDescent="0.2">
      <c r="A83" s="224"/>
      <c r="B83" s="225" t="s">
        <v>25</v>
      </c>
      <c r="C83" s="229">
        <v>-2203.7685195830381</v>
      </c>
      <c r="D83" s="77">
        <v>-1803.0833342043079</v>
      </c>
      <c r="E83" s="77">
        <v>-1602.7407415149391</v>
      </c>
      <c r="F83" s="77">
        <v>-2003.425926893673</v>
      </c>
      <c r="G83" s="77">
        <v>-2203.7685195830381</v>
      </c>
      <c r="H83" s="77">
        <v>-2203.7685195830381</v>
      </c>
      <c r="I83" s="77">
        <v>-2804.7962976511408</v>
      </c>
      <c r="J83" s="77">
        <v>-2203.7685195830381</v>
      </c>
      <c r="K83" s="77">
        <v>-2404.1111122724105</v>
      </c>
      <c r="L83" s="77">
        <v>-2604.4537049617757</v>
      </c>
      <c r="M83" s="77">
        <v>-2003.425926893673</v>
      </c>
      <c r="N83" s="77">
        <v>-1402.3981488255704</v>
      </c>
      <c r="O83" s="230">
        <v>-25443.509271549643</v>
      </c>
    </row>
    <row r="84" spans="1:15" x14ac:dyDescent="0.2">
      <c r="A84" s="224"/>
      <c r="B84" s="225" t="s">
        <v>26</v>
      </c>
      <c r="C84" s="229">
        <v>-157.79305579473095</v>
      </c>
      <c r="D84" s="77">
        <v>-129.10340928659804</v>
      </c>
      <c r="E84" s="77">
        <v>-114.75858603253158</v>
      </c>
      <c r="F84" s="77">
        <v>-143.44823254066446</v>
      </c>
      <c r="G84" s="77">
        <v>-157.79305579473095</v>
      </c>
      <c r="H84" s="77">
        <v>-157.79305579473095</v>
      </c>
      <c r="I84" s="77">
        <v>-200.82752555693025</v>
      </c>
      <c r="J84" s="77">
        <v>-157.79305579473095</v>
      </c>
      <c r="K84" s="77">
        <v>-172.1378790487974</v>
      </c>
      <c r="L84" s="77">
        <v>-186.48270230286383</v>
      </c>
      <c r="M84" s="77">
        <v>-143.44823254066446</v>
      </c>
      <c r="N84" s="77">
        <v>-100.41376277846513</v>
      </c>
      <c r="O84" s="230">
        <v>-1821.7925532664387</v>
      </c>
    </row>
    <row r="85" spans="1:15" x14ac:dyDescent="0.2">
      <c r="A85" s="224"/>
      <c r="B85" s="225" t="s">
        <v>27</v>
      </c>
      <c r="C85" s="229">
        <v>-2361.5615753777693</v>
      </c>
      <c r="D85" s="77">
        <v>-1932.1867434909059</v>
      </c>
      <c r="E85" s="77">
        <v>-1717.4993275474708</v>
      </c>
      <c r="F85" s="77">
        <v>-2146.8741594343373</v>
      </c>
      <c r="G85" s="77">
        <v>-2361.5615753777693</v>
      </c>
      <c r="H85" s="77">
        <v>-2361.5615753777693</v>
      </c>
      <c r="I85" s="77">
        <v>-3005.6238232080709</v>
      </c>
      <c r="J85" s="77">
        <v>-2361.5615753777693</v>
      </c>
      <c r="K85" s="77">
        <v>-2576.248991321208</v>
      </c>
      <c r="L85" s="77">
        <v>-2790.9364072646395</v>
      </c>
      <c r="M85" s="77">
        <v>-2146.8741594343373</v>
      </c>
      <c r="N85" s="77">
        <v>-1502.8119116040355</v>
      </c>
      <c r="O85" s="230">
        <v>-27265.301824816084</v>
      </c>
    </row>
    <row r="86" spans="1:15" x14ac:dyDescent="0.2">
      <c r="A86" s="224"/>
      <c r="B86" s="225" t="s">
        <v>51</v>
      </c>
      <c r="C86" s="229">
        <v>20488.191014981294</v>
      </c>
      <c r="D86" s="77">
        <v>16763.065375893788</v>
      </c>
      <c r="E86" s="77">
        <v>14900.502556350033</v>
      </c>
      <c r="F86" s="77">
        <v>18625.628195437541</v>
      </c>
      <c r="G86" s="77">
        <v>20488.191014981294</v>
      </c>
      <c r="H86" s="77">
        <v>20488.191014981294</v>
      </c>
      <c r="I86" s="77">
        <v>26075.879473612556</v>
      </c>
      <c r="J86" s="77">
        <v>20488.191014981294</v>
      </c>
      <c r="K86" s="77">
        <v>22350.75383452505</v>
      </c>
      <c r="L86" s="77">
        <v>24213.316654068803</v>
      </c>
      <c r="M86" s="77">
        <v>18625.628195437541</v>
      </c>
      <c r="N86" s="77">
        <v>13037.939736806278</v>
      </c>
      <c r="O86" s="230">
        <v>236545.4780820568</v>
      </c>
    </row>
    <row r="87" spans="1:15" x14ac:dyDescent="0.2">
      <c r="A87" s="224"/>
      <c r="B87" s="225" t="s">
        <v>91</v>
      </c>
      <c r="C87" s="229">
        <v>0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230">
        <v>0</v>
      </c>
    </row>
    <row r="88" spans="1:15" x14ac:dyDescent="0.2">
      <c r="A88" s="224"/>
      <c r="B88" s="225" t="s">
        <v>93</v>
      </c>
      <c r="C88" s="229">
        <v>0</v>
      </c>
      <c r="D88" s="77">
        <v>0</v>
      </c>
      <c r="E88" s="77">
        <v>0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7">
        <v>0</v>
      </c>
      <c r="L88" s="77">
        <v>0</v>
      </c>
      <c r="M88" s="77">
        <v>0</v>
      </c>
      <c r="N88" s="77">
        <v>0</v>
      </c>
      <c r="O88" s="230">
        <v>0</v>
      </c>
    </row>
    <row r="89" spans="1:15" x14ac:dyDescent="0.2">
      <c r="A89" s="214" t="s">
        <v>58</v>
      </c>
      <c r="B89" s="214" t="s">
        <v>72</v>
      </c>
      <c r="C89" s="221">
        <v>0</v>
      </c>
      <c r="D89" s="222">
        <v>0</v>
      </c>
      <c r="E89" s="222">
        <v>0</v>
      </c>
      <c r="F89" s="222">
        <v>0</v>
      </c>
      <c r="G89" s="222">
        <v>0</v>
      </c>
      <c r="H89" s="222">
        <v>0</v>
      </c>
      <c r="I89" s="222">
        <v>0</v>
      </c>
      <c r="J89" s="222">
        <v>0</v>
      </c>
      <c r="K89" s="222">
        <v>0</v>
      </c>
      <c r="L89" s="222">
        <v>0</v>
      </c>
      <c r="M89" s="222">
        <v>0</v>
      </c>
      <c r="N89" s="222">
        <v>0</v>
      </c>
      <c r="O89" s="223">
        <v>0</v>
      </c>
    </row>
    <row r="90" spans="1:15" x14ac:dyDescent="0.2">
      <c r="A90" s="224"/>
      <c r="B90" s="225" t="s">
        <v>25</v>
      </c>
      <c r="C90" s="229">
        <v>0</v>
      </c>
      <c r="D90" s="77">
        <v>0</v>
      </c>
      <c r="E90" s="77">
        <v>0</v>
      </c>
      <c r="F90" s="77">
        <v>0</v>
      </c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230">
        <v>0</v>
      </c>
    </row>
    <row r="91" spans="1:15" x14ac:dyDescent="0.2">
      <c r="A91" s="224"/>
      <c r="B91" s="225" t="s">
        <v>26</v>
      </c>
      <c r="C91" s="229">
        <v>0</v>
      </c>
      <c r="D91" s="77">
        <v>0</v>
      </c>
      <c r="E91" s="77">
        <v>0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  <c r="M91" s="77">
        <v>0</v>
      </c>
      <c r="N91" s="77">
        <v>0</v>
      </c>
      <c r="O91" s="230">
        <v>0</v>
      </c>
    </row>
    <row r="92" spans="1:15" x14ac:dyDescent="0.2">
      <c r="A92" s="224"/>
      <c r="B92" s="225" t="s">
        <v>27</v>
      </c>
      <c r="C92" s="229">
        <v>0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230">
        <v>0</v>
      </c>
    </row>
    <row r="93" spans="1:15" x14ac:dyDescent="0.2">
      <c r="A93" s="224"/>
      <c r="B93" s="225" t="s">
        <v>51</v>
      </c>
      <c r="C93" s="229">
        <v>0</v>
      </c>
      <c r="D93" s="77">
        <v>0</v>
      </c>
      <c r="E93" s="77">
        <v>0</v>
      </c>
      <c r="F93" s="77">
        <v>0</v>
      </c>
      <c r="G93" s="77">
        <v>0</v>
      </c>
      <c r="H93" s="77">
        <v>0</v>
      </c>
      <c r="I93" s="77">
        <v>0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230">
        <v>0</v>
      </c>
    </row>
    <row r="94" spans="1:15" x14ac:dyDescent="0.2">
      <c r="A94" s="224"/>
      <c r="B94" s="225" t="s">
        <v>91</v>
      </c>
      <c r="C94" s="229">
        <v>0</v>
      </c>
      <c r="D94" s="77">
        <v>0</v>
      </c>
      <c r="E94" s="77">
        <v>0</v>
      </c>
      <c r="F94" s="77">
        <v>0</v>
      </c>
      <c r="G94" s="77">
        <v>0</v>
      </c>
      <c r="H94" s="77">
        <v>0</v>
      </c>
      <c r="I94" s="77">
        <v>0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230">
        <v>0</v>
      </c>
    </row>
    <row r="95" spans="1:15" x14ac:dyDescent="0.2">
      <c r="A95" s="224"/>
      <c r="B95" s="225" t="s">
        <v>93</v>
      </c>
      <c r="C95" s="229">
        <v>0</v>
      </c>
      <c r="D95" s="77">
        <v>0</v>
      </c>
      <c r="E95" s="77">
        <v>0</v>
      </c>
      <c r="F95" s="77">
        <v>0</v>
      </c>
      <c r="G95" s="77">
        <v>0</v>
      </c>
      <c r="H95" s="77">
        <v>0</v>
      </c>
      <c r="I95" s="77">
        <v>0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230">
        <v>0</v>
      </c>
    </row>
    <row r="96" spans="1:15" x14ac:dyDescent="0.2">
      <c r="A96" s="214" t="s">
        <v>59</v>
      </c>
      <c r="B96" s="214" t="s">
        <v>72</v>
      </c>
      <c r="C96" s="221">
        <v>61502.148393612311</v>
      </c>
      <c r="D96" s="222">
        <v>69813.24952788424</v>
      </c>
      <c r="E96" s="222">
        <v>49866.6068056316</v>
      </c>
      <c r="F96" s="222">
        <v>53191.047259340376</v>
      </c>
      <c r="G96" s="222">
        <v>64826.58884732108</v>
      </c>
      <c r="H96" s="222">
        <v>78124.350662156183</v>
      </c>
      <c r="I96" s="222">
        <v>88097.672023282503</v>
      </c>
      <c r="J96" s="222">
        <v>86435.451796428111</v>
      </c>
      <c r="K96" s="222">
        <v>74799.9102084474</v>
      </c>
      <c r="L96" s="222">
        <v>68151.029301029863</v>
      </c>
      <c r="M96" s="222">
        <v>48204.386578777216</v>
      </c>
      <c r="N96" s="222">
        <v>59839.92816675792</v>
      </c>
      <c r="O96" s="223">
        <v>802852.36957066879</v>
      </c>
    </row>
    <row r="97" spans="1:15" x14ac:dyDescent="0.2">
      <c r="A97" s="224"/>
      <c r="B97" s="225" t="s">
        <v>25</v>
      </c>
      <c r="C97" s="229">
        <v>-7412.6759295065858</v>
      </c>
      <c r="D97" s="77">
        <v>-8414.3888929534296</v>
      </c>
      <c r="E97" s="77">
        <v>-6010.2777806810263</v>
      </c>
      <c r="F97" s="77">
        <v>-6410.9629660597566</v>
      </c>
      <c r="G97" s="77">
        <v>-7813.3611148853379</v>
      </c>
      <c r="H97" s="77">
        <v>-9416.1018564002588</v>
      </c>
      <c r="I97" s="77">
        <v>-10618.157412536471</v>
      </c>
      <c r="J97" s="77">
        <v>-10417.814819847103</v>
      </c>
      <c r="K97" s="77">
        <v>-9015.4166710215359</v>
      </c>
      <c r="L97" s="77">
        <v>-8214.0463002640608</v>
      </c>
      <c r="M97" s="77">
        <v>-5809.9351879916576</v>
      </c>
      <c r="N97" s="77">
        <v>-7212.3333368172316</v>
      </c>
      <c r="O97" s="230">
        <v>-96765.47226896444</v>
      </c>
    </row>
    <row r="98" spans="1:15" x14ac:dyDescent="0.2">
      <c r="A98" s="224"/>
      <c r="B98" s="225" t="s">
        <v>26</v>
      </c>
      <c r="C98" s="229">
        <v>-530.7584604004586</v>
      </c>
      <c r="D98" s="77">
        <v>-602.48257667079076</v>
      </c>
      <c r="E98" s="77">
        <v>-430.34469762199342</v>
      </c>
      <c r="F98" s="77">
        <v>-459.03434413012633</v>
      </c>
      <c r="G98" s="77">
        <v>-559.44810690859151</v>
      </c>
      <c r="H98" s="77">
        <v>-674.20669294112304</v>
      </c>
      <c r="I98" s="77">
        <v>-760.27563246552177</v>
      </c>
      <c r="J98" s="77">
        <v>-745.93080921145531</v>
      </c>
      <c r="K98" s="77">
        <v>-645.51704643299013</v>
      </c>
      <c r="L98" s="77">
        <v>-588.13775341672442</v>
      </c>
      <c r="M98" s="77">
        <v>-415.99987436792702</v>
      </c>
      <c r="N98" s="77">
        <v>-516.41363714639215</v>
      </c>
      <c r="O98" s="230">
        <v>-6928.5496317140942</v>
      </c>
    </row>
    <row r="99" spans="1:15" x14ac:dyDescent="0.2">
      <c r="A99" s="224"/>
      <c r="B99" s="225" t="s">
        <v>27</v>
      </c>
      <c r="C99" s="229">
        <v>-7943.4343899070445</v>
      </c>
      <c r="D99" s="77">
        <v>-9016.8714696242205</v>
      </c>
      <c r="E99" s="77">
        <v>-6440.6224783030193</v>
      </c>
      <c r="F99" s="77">
        <v>-6869.9973101898831</v>
      </c>
      <c r="G99" s="77">
        <v>-8372.8092217939302</v>
      </c>
      <c r="H99" s="77">
        <v>-10090.308549341382</v>
      </c>
      <c r="I99" s="77">
        <v>-11378.433045001993</v>
      </c>
      <c r="J99" s="77">
        <v>-11163.745629058558</v>
      </c>
      <c r="K99" s="77">
        <v>-9660.9337174545253</v>
      </c>
      <c r="L99" s="77">
        <v>-8802.1840536807849</v>
      </c>
      <c r="M99" s="77">
        <v>-6225.9350623595847</v>
      </c>
      <c r="N99" s="77">
        <v>-7728.7469739636235</v>
      </c>
      <c r="O99" s="230">
        <v>-103694.02190067855</v>
      </c>
    </row>
    <row r="100" spans="1:15" x14ac:dyDescent="0.2">
      <c r="A100" s="224"/>
      <c r="B100" s="225" t="s">
        <v>51</v>
      </c>
      <c r="C100" s="229">
        <v>68914.824323118897</v>
      </c>
      <c r="D100" s="77">
        <v>78227.638420837669</v>
      </c>
      <c r="E100" s="77">
        <v>55876.884586312626</v>
      </c>
      <c r="F100" s="77">
        <v>59602.010225400132</v>
      </c>
      <c r="G100" s="77">
        <v>72639.949962206418</v>
      </c>
      <c r="H100" s="77">
        <v>87540.452518556442</v>
      </c>
      <c r="I100" s="77">
        <v>98715.829435818974</v>
      </c>
      <c r="J100" s="77">
        <v>96853.266616275214</v>
      </c>
      <c r="K100" s="77">
        <v>83815.326879468936</v>
      </c>
      <c r="L100" s="77">
        <v>76365.075601293924</v>
      </c>
      <c r="M100" s="77">
        <v>54014.321766768873</v>
      </c>
      <c r="N100" s="77">
        <v>67052.261503575151</v>
      </c>
      <c r="O100" s="230">
        <v>899617.84183963318</v>
      </c>
    </row>
    <row r="101" spans="1:15" x14ac:dyDescent="0.2">
      <c r="A101" s="224"/>
      <c r="B101" s="225" t="s">
        <v>91</v>
      </c>
      <c r="C101" s="229">
        <v>0</v>
      </c>
      <c r="D101" s="77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230">
        <v>0</v>
      </c>
    </row>
    <row r="102" spans="1:15" x14ac:dyDescent="0.2">
      <c r="A102" s="224"/>
      <c r="B102" s="225" t="s">
        <v>93</v>
      </c>
      <c r="C102" s="229">
        <v>0</v>
      </c>
      <c r="D102" s="77">
        <v>0</v>
      </c>
      <c r="E102" s="77">
        <v>0</v>
      </c>
      <c r="F102" s="77">
        <v>0</v>
      </c>
      <c r="G102" s="77">
        <v>0</v>
      </c>
      <c r="H102" s="77">
        <v>0</v>
      </c>
      <c r="I102" s="77">
        <v>0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230">
        <v>0</v>
      </c>
    </row>
    <row r="103" spans="1:15" x14ac:dyDescent="0.2">
      <c r="A103" s="214" t="s">
        <v>83</v>
      </c>
      <c r="B103" s="214" t="s">
        <v>72</v>
      </c>
      <c r="C103" s="221">
        <v>350728.46786627558</v>
      </c>
      <c r="D103" s="222">
        <v>332444.04537087737</v>
      </c>
      <c r="E103" s="222">
        <v>202790.86767623518</v>
      </c>
      <c r="F103" s="222">
        <v>181182.00472712817</v>
      </c>
      <c r="G103" s="222">
        <v>169546.46313914744</v>
      </c>
      <c r="H103" s="222">
        <v>217750.84971792466</v>
      </c>
      <c r="I103" s="222">
        <v>242684.15312074046</v>
      </c>
      <c r="J103" s="222">
        <v>247670.81380130362</v>
      </c>
      <c r="K103" s="222">
        <v>202790.86767623518</v>
      </c>
      <c r="L103" s="222">
        <v>194479.76654196324</v>
      </c>
      <c r="M103" s="222">
        <v>196141.98676881765</v>
      </c>
      <c r="N103" s="222">
        <v>295875.20038008085</v>
      </c>
      <c r="O103" s="223">
        <v>2834085.4867867297</v>
      </c>
    </row>
    <row r="104" spans="1:15" x14ac:dyDescent="0.2">
      <c r="A104" s="224"/>
      <c r="B104" s="225" t="s">
        <v>25</v>
      </c>
      <c r="C104" s="229">
        <v>-42272.28705745656</v>
      </c>
      <c r="D104" s="77">
        <v>-40068.51853787346</v>
      </c>
      <c r="E104" s="77">
        <v>-24441.796308102814</v>
      </c>
      <c r="F104" s="77">
        <v>-21837.342603141034</v>
      </c>
      <c r="G104" s="77">
        <v>-20434.944454315468</v>
      </c>
      <c r="H104" s="77">
        <v>-26244.879642307118</v>
      </c>
      <c r="I104" s="77">
        <v>-29250.018532647664</v>
      </c>
      <c r="J104" s="77">
        <v>-29851.046310715727</v>
      </c>
      <c r="K104" s="77">
        <v>-24441.796308102814</v>
      </c>
      <c r="L104" s="77">
        <v>-23440.083344655985</v>
      </c>
      <c r="M104" s="77">
        <v>-23640.425937345339</v>
      </c>
      <c r="N104" s="77">
        <v>-35660.981498707377</v>
      </c>
      <c r="O104" s="230">
        <v>-341584.12053537142</v>
      </c>
    </row>
    <row r="105" spans="1:15" x14ac:dyDescent="0.2">
      <c r="A105" s="224"/>
      <c r="B105" s="225" t="s">
        <v>26</v>
      </c>
      <c r="C105" s="229">
        <v>-3026.7577066080207</v>
      </c>
      <c r="D105" s="77">
        <v>-2868.9646508132896</v>
      </c>
      <c r="E105" s="77">
        <v>-1750.0684369961066</v>
      </c>
      <c r="F105" s="77">
        <v>-1563.585734693243</v>
      </c>
      <c r="G105" s="77">
        <v>-1463.1719719147777</v>
      </c>
      <c r="H105" s="77">
        <v>-1879.1718462827048</v>
      </c>
      <c r="I105" s="77">
        <v>-2094.3441950937013</v>
      </c>
      <c r="J105" s="77">
        <v>-2137.3786648559008</v>
      </c>
      <c r="K105" s="77">
        <v>-1750.0684369961066</v>
      </c>
      <c r="L105" s="77">
        <v>-1678.3443207257747</v>
      </c>
      <c r="M105" s="77">
        <v>-1692.689143979841</v>
      </c>
      <c r="N105" s="77">
        <v>-2553.3785392238278</v>
      </c>
      <c r="O105" s="230">
        <v>-24457.923648183292</v>
      </c>
    </row>
    <row r="106" spans="1:15" x14ac:dyDescent="0.2">
      <c r="A106" s="224"/>
      <c r="B106" s="225" t="s">
        <v>27</v>
      </c>
      <c r="C106" s="229">
        <v>-45299.04476406458</v>
      </c>
      <c r="D106" s="77">
        <v>-42937.483188686747</v>
      </c>
      <c r="E106" s="77">
        <v>-26191.864745098919</v>
      </c>
      <c r="F106" s="77">
        <v>-23400.928337834277</v>
      </c>
      <c r="G106" s="77">
        <v>-21898.116426230245</v>
      </c>
      <c r="H106" s="77">
        <v>-28124.051488589823</v>
      </c>
      <c r="I106" s="77">
        <v>-31344.362727741365</v>
      </c>
      <c r="J106" s="77">
        <v>-31988.424975571626</v>
      </c>
      <c r="K106" s="77">
        <v>-26191.864745098919</v>
      </c>
      <c r="L106" s="77">
        <v>-25118.427665381758</v>
      </c>
      <c r="M106" s="77">
        <v>-25333.115081325181</v>
      </c>
      <c r="N106" s="77">
        <v>-38214.360037931205</v>
      </c>
      <c r="O106" s="230">
        <v>-366042.04418355459</v>
      </c>
    </row>
    <row r="107" spans="1:15" x14ac:dyDescent="0.2">
      <c r="A107" s="224"/>
      <c r="B107" s="225" t="s">
        <v>51</v>
      </c>
      <c r="C107" s="229">
        <v>393000.75492373214</v>
      </c>
      <c r="D107" s="77">
        <v>372512.56390875083</v>
      </c>
      <c r="E107" s="77">
        <v>227232.663984338</v>
      </c>
      <c r="F107" s="77">
        <v>203019.3473302692</v>
      </c>
      <c r="G107" s="77">
        <v>189981.40759346291</v>
      </c>
      <c r="H107" s="77">
        <v>243995.72936023178</v>
      </c>
      <c r="I107" s="77">
        <v>271934.17165338813</v>
      </c>
      <c r="J107" s="77">
        <v>277521.86011201935</v>
      </c>
      <c r="K107" s="77">
        <v>227232.663984338</v>
      </c>
      <c r="L107" s="77">
        <v>217919.84988661922</v>
      </c>
      <c r="M107" s="77">
        <v>219782.41270616298</v>
      </c>
      <c r="N107" s="77">
        <v>331536.18187878822</v>
      </c>
      <c r="O107" s="230">
        <v>3175669.6073221001</v>
      </c>
    </row>
    <row r="108" spans="1:15" x14ac:dyDescent="0.2">
      <c r="A108" s="224"/>
      <c r="B108" s="225" t="s">
        <v>91</v>
      </c>
      <c r="C108" s="229">
        <v>0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J108" s="77">
        <v>0</v>
      </c>
      <c r="K108" s="77">
        <v>0</v>
      </c>
      <c r="L108" s="77">
        <v>0</v>
      </c>
      <c r="M108" s="77">
        <v>0</v>
      </c>
      <c r="N108" s="77">
        <v>0</v>
      </c>
      <c r="O108" s="230">
        <v>0</v>
      </c>
    </row>
    <row r="109" spans="1:15" x14ac:dyDescent="0.2">
      <c r="A109" s="224"/>
      <c r="B109" s="225" t="s">
        <v>93</v>
      </c>
      <c r="C109" s="229">
        <v>0</v>
      </c>
      <c r="D109" s="77">
        <v>0</v>
      </c>
      <c r="E109" s="77">
        <v>0</v>
      </c>
      <c r="F109" s="77">
        <v>0</v>
      </c>
      <c r="G109" s="77">
        <v>0</v>
      </c>
      <c r="H109" s="77">
        <v>0</v>
      </c>
      <c r="I109" s="77">
        <v>0</v>
      </c>
      <c r="J109" s="77">
        <v>0</v>
      </c>
      <c r="K109" s="77">
        <v>0</v>
      </c>
      <c r="L109" s="77">
        <v>0</v>
      </c>
      <c r="M109" s="77">
        <v>0</v>
      </c>
      <c r="N109" s="77">
        <v>0</v>
      </c>
      <c r="O109" s="230">
        <v>0</v>
      </c>
    </row>
    <row r="110" spans="1:15" x14ac:dyDescent="0.2">
      <c r="A110" s="214" t="s">
        <v>87</v>
      </c>
      <c r="B110" s="214" t="s">
        <v>72</v>
      </c>
      <c r="C110" s="221">
        <v>78124.350662156183</v>
      </c>
      <c r="D110" s="222">
        <v>94746.55293070004</v>
      </c>
      <c r="E110" s="222">
        <v>56515.487713049151</v>
      </c>
      <c r="F110" s="222">
        <v>44879.94612506844</v>
      </c>
      <c r="G110" s="222">
        <v>66488.809074175471</v>
      </c>
      <c r="H110" s="222">
        <v>76462.130435301791</v>
      </c>
      <c r="I110" s="222">
        <v>91422.112476991271</v>
      </c>
      <c r="J110" s="222">
        <v>91422.112476991271</v>
      </c>
      <c r="K110" s="222">
        <v>73137.689981593023</v>
      </c>
      <c r="L110" s="222">
        <v>56515.487713049151</v>
      </c>
      <c r="M110" s="222">
        <v>58177.707939903536</v>
      </c>
      <c r="N110" s="222">
        <v>64826.58884732108</v>
      </c>
      <c r="O110" s="223">
        <v>852718.97637630044</v>
      </c>
    </row>
    <row r="111" spans="1:15" x14ac:dyDescent="0.2">
      <c r="A111" s="224"/>
      <c r="B111" s="225" t="s">
        <v>25</v>
      </c>
      <c r="C111" s="229">
        <v>-9416.1018564002588</v>
      </c>
      <c r="D111" s="77">
        <v>-11419.527783293946</v>
      </c>
      <c r="E111" s="77">
        <v>-6811.6481514384868</v>
      </c>
      <c r="F111" s="77">
        <v>-5409.2500026129201</v>
      </c>
      <c r="G111" s="77">
        <v>-8013.7037075746921</v>
      </c>
      <c r="H111" s="77">
        <v>-9215.7592637109046</v>
      </c>
      <c r="I111" s="77">
        <v>-11018.842597915209</v>
      </c>
      <c r="J111" s="77">
        <v>-11018.842597915209</v>
      </c>
      <c r="K111" s="77">
        <v>-8815.0740783321526</v>
      </c>
      <c r="L111" s="77">
        <v>-6811.6481514384868</v>
      </c>
      <c r="M111" s="77">
        <v>-7011.9907441278556</v>
      </c>
      <c r="N111" s="77">
        <v>-7813.3611148853379</v>
      </c>
      <c r="O111" s="230">
        <v>-102775.75004964546</v>
      </c>
    </row>
    <row r="112" spans="1:15" x14ac:dyDescent="0.2">
      <c r="A112" s="224"/>
      <c r="B112" s="225" t="s">
        <v>26</v>
      </c>
      <c r="C112" s="229">
        <v>-674.20669294112304</v>
      </c>
      <c r="D112" s="77">
        <v>-817.65492548178759</v>
      </c>
      <c r="E112" s="77">
        <v>-487.72399063825924</v>
      </c>
      <c r="F112" s="77">
        <v>-387.31022785979411</v>
      </c>
      <c r="G112" s="77">
        <v>-573.79293016265785</v>
      </c>
      <c r="H112" s="77">
        <v>-659.8618696870567</v>
      </c>
      <c r="I112" s="77">
        <v>-788.96527897365479</v>
      </c>
      <c r="J112" s="77">
        <v>-788.96527897365479</v>
      </c>
      <c r="K112" s="77">
        <v>-631.17222317892379</v>
      </c>
      <c r="L112" s="77">
        <v>-487.72399063825924</v>
      </c>
      <c r="M112" s="77">
        <v>-502.06881389232569</v>
      </c>
      <c r="N112" s="77">
        <v>-559.44810690859151</v>
      </c>
      <c r="O112" s="230">
        <v>-7358.894329336088</v>
      </c>
    </row>
    <row r="113" spans="1:15" x14ac:dyDescent="0.2">
      <c r="A113" s="224"/>
      <c r="B113" s="225" t="s">
        <v>27</v>
      </c>
      <c r="C113" s="229">
        <v>-10090.308549341382</v>
      </c>
      <c r="D113" s="77">
        <v>-12237.182708775734</v>
      </c>
      <c r="E113" s="77">
        <v>-7299.3721420767461</v>
      </c>
      <c r="F113" s="77">
        <v>-5796.5602304727145</v>
      </c>
      <c r="G113" s="77">
        <v>-8587.4966377373494</v>
      </c>
      <c r="H113" s="77">
        <v>-9875.6211333979609</v>
      </c>
      <c r="I113" s="77">
        <v>-11807.807876888864</v>
      </c>
      <c r="J113" s="77">
        <v>-11807.807876888864</v>
      </c>
      <c r="K113" s="77">
        <v>-9446.246301511077</v>
      </c>
      <c r="L113" s="77">
        <v>-7299.3721420767461</v>
      </c>
      <c r="M113" s="77">
        <v>-7514.0595580201816</v>
      </c>
      <c r="N113" s="77">
        <v>-8372.8092217939302</v>
      </c>
      <c r="O113" s="230">
        <v>-110134.64437898154</v>
      </c>
    </row>
    <row r="114" spans="1:15" x14ac:dyDescent="0.2">
      <c r="A114" s="224"/>
      <c r="B114" s="225" t="s">
        <v>51</v>
      </c>
      <c r="C114" s="229">
        <v>87540.452518556442</v>
      </c>
      <c r="D114" s="77">
        <v>106166.08071399399</v>
      </c>
      <c r="E114" s="77">
        <v>63327.135864487638</v>
      </c>
      <c r="F114" s="77">
        <v>50289.19612768136</v>
      </c>
      <c r="G114" s="77">
        <v>74502.512781750163</v>
      </c>
      <c r="H114" s="77">
        <v>85677.889699012696</v>
      </c>
      <c r="I114" s="77">
        <v>102440.95507490648</v>
      </c>
      <c r="J114" s="77">
        <v>102440.95507490648</v>
      </c>
      <c r="K114" s="77">
        <v>81952.764059925175</v>
      </c>
      <c r="L114" s="77">
        <v>63327.135864487638</v>
      </c>
      <c r="M114" s="77">
        <v>65189.698684031391</v>
      </c>
      <c r="N114" s="77">
        <v>72639.949962206418</v>
      </c>
      <c r="O114" s="230">
        <v>955494.72642594588</v>
      </c>
    </row>
    <row r="115" spans="1:15" x14ac:dyDescent="0.2">
      <c r="A115" s="224"/>
      <c r="B115" s="225" t="s">
        <v>91</v>
      </c>
      <c r="C115" s="229">
        <v>0</v>
      </c>
      <c r="D115" s="77">
        <v>0</v>
      </c>
      <c r="E115" s="77">
        <v>0</v>
      </c>
      <c r="F115" s="77">
        <v>0</v>
      </c>
      <c r="G115" s="77">
        <v>0</v>
      </c>
      <c r="H115" s="77">
        <v>0</v>
      </c>
      <c r="I115" s="77">
        <v>0</v>
      </c>
      <c r="J115" s="77">
        <v>0</v>
      </c>
      <c r="K115" s="77">
        <v>0</v>
      </c>
      <c r="L115" s="77">
        <v>0</v>
      </c>
      <c r="M115" s="77">
        <v>0</v>
      </c>
      <c r="N115" s="77">
        <v>0</v>
      </c>
      <c r="O115" s="230">
        <v>0</v>
      </c>
    </row>
    <row r="116" spans="1:15" x14ac:dyDescent="0.2">
      <c r="A116" s="224"/>
      <c r="B116" s="225" t="s">
        <v>93</v>
      </c>
      <c r="C116" s="229">
        <v>0</v>
      </c>
      <c r="D116" s="77">
        <v>0</v>
      </c>
      <c r="E116" s="77">
        <v>0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230">
        <v>0</v>
      </c>
    </row>
    <row r="117" spans="1:15" x14ac:dyDescent="0.2">
      <c r="A117" s="214" t="s">
        <v>73</v>
      </c>
      <c r="B117" s="215"/>
      <c r="C117" s="221">
        <v>15658114.536968326</v>
      </c>
      <c r="D117" s="222">
        <v>16339624.829978621</v>
      </c>
      <c r="E117" s="222">
        <v>11642190.468888124</v>
      </c>
      <c r="F117" s="222">
        <v>11607283.844124183</v>
      </c>
      <c r="G117" s="222">
        <v>14233591.80255411</v>
      </c>
      <c r="H117" s="222">
        <v>16180051.6882006</v>
      </c>
      <c r="I117" s="222">
        <v>17715943.177814052</v>
      </c>
      <c r="J117" s="222">
        <v>17828974.153240144</v>
      </c>
      <c r="K117" s="222">
        <v>15448674.78838467</v>
      </c>
      <c r="L117" s="222">
        <v>14057396.458507549</v>
      </c>
      <c r="M117" s="222">
        <v>11264866.47739218</v>
      </c>
      <c r="N117" s="222">
        <v>14007529.851701917</v>
      </c>
      <c r="O117" s="223">
        <v>175984242.0777545</v>
      </c>
    </row>
    <row r="118" spans="1:15" x14ac:dyDescent="0.2">
      <c r="A118" s="214" t="s">
        <v>28</v>
      </c>
      <c r="B118" s="215"/>
      <c r="C118" s="231">
        <v>-1887227.2231338404</v>
      </c>
      <c r="D118" s="232">
        <v>-1969367.6861364809</v>
      </c>
      <c r="E118" s="232">
        <v>-1403199.5191963289</v>
      </c>
      <c r="F118" s="232">
        <v>-1398992.324749853</v>
      </c>
      <c r="G118" s="232">
        <v>-1715533.6211990539</v>
      </c>
      <c r="H118" s="232">
        <v>-1950134.7972383017</v>
      </c>
      <c r="I118" s="232">
        <v>-2135251.352883277</v>
      </c>
      <c r="J118" s="232">
        <v>-2148874.6491861553</v>
      </c>
      <c r="K118" s="232">
        <v>-1861984.0564549807</v>
      </c>
      <c r="L118" s="232">
        <v>-1694297.3063739799</v>
      </c>
      <c r="M118" s="232">
        <v>-1357721.7506558432</v>
      </c>
      <c r="N118" s="232">
        <v>-1688287.0285932992</v>
      </c>
      <c r="O118" s="233">
        <v>-21210871.315801397</v>
      </c>
    </row>
    <row r="119" spans="1:15" x14ac:dyDescent="0.2">
      <c r="A119" s="214" t="s">
        <v>29</v>
      </c>
      <c r="B119" s="215"/>
      <c r="C119" s="231">
        <v>-135128.23505330592</v>
      </c>
      <c r="D119" s="232">
        <v>-141009.61258747318</v>
      </c>
      <c r="E119" s="232">
        <v>-100471.14207148142</v>
      </c>
      <c r="F119" s="232">
        <v>-100169.900783146</v>
      </c>
      <c r="G119" s="232">
        <v>-122834.721524571</v>
      </c>
      <c r="H119" s="232">
        <v>-139632.50955508283</v>
      </c>
      <c r="I119" s="232">
        <v>-152887.12624184019</v>
      </c>
      <c r="J119" s="232">
        <v>-153862.57422311671</v>
      </c>
      <c r="K119" s="232">
        <v>-133320.78732329357</v>
      </c>
      <c r="L119" s="232">
        <v>-121314.17025963997</v>
      </c>
      <c r="M119" s="232">
        <v>-97214.86719280832</v>
      </c>
      <c r="N119" s="232">
        <v>-120883.82556201797</v>
      </c>
      <c r="O119" s="233">
        <v>-1518729.4723777771</v>
      </c>
    </row>
    <row r="120" spans="1:15" x14ac:dyDescent="0.2">
      <c r="A120" s="214" t="s">
        <v>30</v>
      </c>
      <c r="B120" s="215"/>
      <c r="C120" s="231">
        <v>-2022355.4581871461</v>
      </c>
      <c r="D120" s="232">
        <v>-2110377.2987239542</v>
      </c>
      <c r="E120" s="232">
        <v>-1503670.6612678105</v>
      </c>
      <c r="F120" s="232">
        <v>-1499162.2255329993</v>
      </c>
      <c r="G120" s="232">
        <v>-1838368.342723625</v>
      </c>
      <c r="H120" s="232">
        <v>-2089767.3067933847</v>
      </c>
      <c r="I120" s="232">
        <v>-2288138.479125117</v>
      </c>
      <c r="J120" s="232">
        <v>-2302737.2234092718</v>
      </c>
      <c r="K120" s="232">
        <v>-1995304.8437782743</v>
      </c>
      <c r="L120" s="232">
        <v>-1815611.4766336195</v>
      </c>
      <c r="M120" s="232">
        <v>-1454936.6178486513</v>
      </c>
      <c r="N120" s="232">
        <v>-1809170.8541553169</v>
      </c>
      <c r="O120" s="233">
        <v>-22729600.788179178</v>
      </c>
    </row>
    <row r="121" spans="1:15" x14ac:dyDescent="0.2">
      <c r="A121" s="214" t="s">
        <v>63</v>
      </c>
      <c r="B121" s="215"/>
      <c r="C121" s="221">
        <v>17545341.760102164</v>
      </c>
      <c r="D121" s="222">
        <v>18308992.516115103</v>
      </c>
      <c r="E121" s="222">
        <v>13045389.988084452</v>
      </c>
      <c r="F121" s="222">
        <v>13006276.168874035</v>
      </c>
      <c r="G121" s="222">
        <v>15949125.423753165</v>
      </c>
      <c r="H121" s="222">
        <v>18130186.485438902</v>
      </c>
      <c r="I121" s="222">
        <v>19851194.530697331</v>
      </c>
      <c r="J121" s="222">
        <v>19977848.802426308</v>
      </c>
      <c r="K121" s="222">
        <v>17310658.844839647</v>
      </c>
      <c r="L121" s="222">
        <v>15751693.764881527</v>
      </c>
      <c r="M121" s="222">
        <v>12622588.228048021</v>
      </c>
      <c r="N121" s="222">
        <v>15695816.880295215</v>
      </c>
      <c r="O121" s="223">
        <v>197195113.39355588</v>
      </c>
    </row>
    <row r="122" spans="1:15" x14ac:dyDescent="0.2">
      <c r="A122" s="214" t="s">
        <v>92</v>
      </c>
      <c r="B122" s="215"/>
      <c r="C122" s="221">
        <v>0</v>
      </c>
      <c r="D122" s="222">
        <v>0</v>
      </c>
      <c r="E122" s="222">
        <v>0</v>
      </c>
      <c r="F122" s="222">
        <v>0</v>
      </c>
      <c r="G122" s="222">
        <v>0</v>
      </c>
      <c r="H122" s="222">
        <v>0</v>
      </c>
      <c r="I122" s="222">
        <v>0</v>
      </c>
      <c r="J122" s="222">
        <v>0</v>
      </c>
      <c r="K122" s="222">
        <v>0</v>
      </c>
      <c r="L122" s="222">
        <v>0</v>
      </c>
      <c r="M122" s="222">
        <v>0</v>
      </c>
      <c r="N122" s="222">
        <v>0</v>
      </c>
      <c r="O122" s="223">
        <v>0</v>
      </c>
    </row>
    <row r="123" spans="1:15" x14ac:dyDescent="0.2">
      <c r="A123" s="234" t="s">
        <v>94</v>
      </c>
      <c r="B123" s="235"/>
      <c r="C123" s="236">
        <v>0</v>
      </c>
      <c r="D123" s="237">
        <v>0</v>
      </c>
      <c r="E123" s="237">
        <v>0</v>
      </c>
      <c r="F123" s="237">
        <v>0</v>
      </c>
      <c r="G123" s="237">
        <v>0</v>
      </c>
      <c r="H123" s="237">
        <v>0</v>
      </c>
      <c r="I123" s="237">
        <v>0</v>
      </c>
      <c r="J123" s="237">
        <v>0</v>
      </c>
      <c r="K123" s="237">
        <v>0</v>
      </c>
      <c r="L123" s="237">
        <v>0</v>
      </c>
      <c r="M123" s="237">
        <v>0</v>
      </c>
      <c r="N123" s="237">
        <v>0</v>
      </c>
      <c r="O123" s="238">
        <v>0</v>
      </c>
    </row>
    <row r="125" spans="1:15" x14ac:dyDescent="0.2">
      <c r="L125" s="77"/>
      <c r="O125" s="77"/>
    </row>
    <row r="126" spans="1:15" x14ac:dyDescent="0.2">
      <c r="L126" s="77"/>
      <c r="O126" s="77"/>
    </row>
  </sheetData>
  <phoneticPr fontId="6" type="noConversion"/>
  <pageMargins left="0.5" right="0.5" top="0.73" bottom="0.98" header="0.5" footer="0.5"/>
  <pageSetup scale="54" fitToHeight="0" orientation="landscape" horizontalDpi="1200" verticalDpi="12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220"/>
  <sheetViews>
    <sheetView showGridLines="0" zoomScale="80" zoomScaleNormal="80" zoomScaleSheetLayoutView="100" workbookViewId="0">
      <selection activeCell="C40" sqref="C40"/>
    </sheetView>
  </sheetViews>
  <sheetFormatPr defaultColWidth="8.7109375" defaultRowHeight="12.75" x14ac:dyDescent="0.2"/>
  <cols>
    <col min="1" max="1" width="0.5703125" customWidth="1"/>
    <col min="2" max="2" width="10.28515625" bestFit="1" customWidth="1"/>
    <col min="3" max="3" width="10.7109375" bestFit="1" customWidth="1"/>
    <col min="4" max="4" width="11" style="88" customWidth="1"/>
    <col min="5" max="5" width="24.28515625" customWidth="1"/>
    <col min="6" max="6" width="7.7109375" style="88" customWidth="1"/>
    <col min="7" max="7" width="8.85546875" style="88" customWidth="1"/>
    <col min="8" max="8" width="11.140625" style="88" bestFit="1" customWidth="1"/>
    <col min="9" max="9" width="11.28515625" style="45" customWidth="1"/>
    <col min="10" max="10" width="15.85546875" style="88" bestFit="1" customWidth="1"/>
    <col min="11" max="11" width="17.140625" style="92" bestFit="1" customWidth="1"/>
    <col min="12" max="12" width="18" style="88" customWidth="1"/>
    <col min="13" max="13" width="14.42578125" style="88" bestFit="1" customWidth="1"/>
    <col min="14" max="17" width="13.42578125" style="88" customWidth="1"/>
    <col min="18" max="18" width="15.5703125" style="178" customWidth="1"/>
  </cols>
  <sheetData>
    <row r="1" spans="2:18" ht="22.5" x14ac:dyDescent="0.2">
      <c r="B1" s="8" t="s">
        <v>98</v>
      </c>
      <c r="C1" s="78"/>
      <c r="D1" s="79"/>
      <c r="E1" s="78"/>
      <c r="F1" s="80" t="s">
        <v>12</v>
      </c>
      <c r="G1" s="81"/>
      <c r="H1" s="82"/>
      <c r="I1" s="83"/>
      <c r="J1" s="193" t="str">
        <f>"True-Up ARR
(CY"&amp;R1&amp;")"</f>
        <v>True-Up ARR
(CY2025)</v>
      </c>
      <c r="K1" s="193" t="str">
        <f>"Projected ARR
(Jan'"&amp;RIGHT(R$1,2)&amp;" - Dec'"&amp;RIGHT(R$1,2)&amp;")"</f>
        <v>Projected ARR
(Jan'25 - Dec'25)</v>
      </c>
      <c r="L1" s="84" t="s">
        <v>47</v>
      </c>
      <c r="M1" s="85"/>
      <c r="N1"/>
      <c r="O1"/>
      <c r="P1"/>
      <c r="Q1"/>
      <c r="R1" s="86">
        <v>2025</v>
      </c>
    </row>
    <row r="2" spans="2:18" x14ac:dyDescent="0.2">
      <c r="B2" s="8" t="s">
        <v>54</v>
      </c>
      <c r="C2" s="78"/>
      <c r="D2" s="79"/>
      <c r="E2" s="78"/>
      <c r="F2" s="87">
        <v>9</v>
      </c>
      <c r="G2" s="240"/>
      <c r="H2" s="240"/>
      <c r="I2" s="89" t="s">
        <v>6</v>
      </c>
      <c r="J2" s="182">
        <v>175984242.07775447</v>
      </c>
      <c r="K2" s="182">
        <v>192888868.15477073</v>
      </c>
      <c r="L2" s="188"/>
      <c r="M2" s="91"/>
      <c r="N2"/>
      <c r="O2"/>
      <c r="P2"/>
      <c r="Q2"/>
      <c r="R2" s="96"/>
    </row>
    <row r="3" spans="2:18" x14ac:dyDescent="0.2">
      <c r="B3" s="8" t="str">
        <f>"for CY"&amp;R1&amp;" SPP Network Transmission Service"</f>
        <v>for CY2025 SPP Network Transmission Service</v>
      </c>
      <c r="C3" s="78"/>
      <c r="D3" s="79"/>
      <c r="E3" s="78"/>
      <c r="F3" s="87"/>
      <c r="G3" s="240"/>
      <c r="H3" s="240"/>
      <c r="I3" s="89" t="s">
        <v>10</v>
      </c>
      <c r="J3" s="183">
        <v>1662.2202268543867</v>
      </c>
      <c r="K3" s="183">
        <v>1862.5628195437541</v>
      </c>
      <c r="L3" s="108" t="str">
        <f>"Inv. Jan-Dec'"&amp;RIGHT(R1,2)</f>
        <v>Inv. Jan-Dec'25</v>
      </c>
      <c r="M3" s="91"/>
      <c r="N3"/>
      <c r="O3"/>
      <c r="P3"/>
      <c r="Q3"/>
      <c r="R3" s="96"/>
    </row>
    <row r="4" spans="2:18" x14ac:dyDescent="0.2">
      <c r="B4" s="7"/>
      <c r="C4" s="78"/>
      <c r="D4" s="79"/>
      <c r="E4" s="78"/>
      <c r="F4" s="87"/>
      <c r="M4" s="93"/>
      <c r="R4" s="96"/>
    </row>
    <row r="5" spans="2:18" x14ac:dyDescent="0.2">
      <c r="B5" s="7"/>
      <c r="C5" s="78"/>
      <c r="D5" s="79"/>
      <c r="E5" s="78"/>
      <c r="F5" s="87"/>
      <c r="I5" s="89"/>
      <c r="K5" s="182">
        <v>0</v>
      </c>
      <c r="L5" s="90"/>
      <c r="M5" s="94"/>
      <c r="N5" s="95"/>
      <c r="O5" s="95"/>
      <c r="P5" s="95"/>
      <c r="Q5" s="95"/>
      <c r="R5" s="96"/>
    </row>
    <row r="6" spans="2:18" x14ac:dyDescent="0.2">
      <c r="B6" s="8" t="s">
        <v>23</v>
      </c>
      <c r="D6" s="79"/>
      <c r="E6" s="78"/>
      <c r="F6" s="97"/>
      <c r="G6" s="14"/>
      <c r="H6" s="98"/>
      <c r="I6" s="99"/>
      <c r="J6" s="100"/>
      <c r="K6" s="183">
        <v>0</v>
      </c>
      <c r="L6" s="108"/>
      <c r="M6" s="94"/>
      <c r="N6" s="95"/>
      <c r="O6" s="95"/>
      <c r="P6" s="95"/>
      <c r="Q6" s="95"/>
      <c r="R6" s="96"/>
    </row>
    <row r="7" spans="2:18" x14ac:dyDescent="0.2">
      <c r="B7" s="7" t="s">
        <v>79</v>
      </c>
      <c r="D7" s="79"/>
      <c r="E7" s="78"/>
      <c r="F7" s="87"/>
      <c r="G7" s="241"/>
      <c r="H7" s="240"/>
      <c r="I7" s="89"/>
      <c r="J7" s="101"/>
      <c r="K7" s="90"/>
      <c r="L7" s="90"/>
      <c r="M7" s="102"/>
      <c r="N7" s="103"/>
      <c r="O7" s="103"/>
      <c r="P7" s="103"/>
      <c r="Q7" s="103"/>
      <c r="R7" s="96"/>
    </row>
    <row r="8" spans="2:18" x14ac:dyDescent="0.2">
      <c r="B8" s="8"/>
      <c r="C8" s="78"/>
      <c r="D8" s="79"/>
      <c r="E8" s="78"/>
      <c r="F8" s="87"/>
      <c r="G8" s="240"/>
      <c r="H8" s="240"/>
      <c r="I8" s="89"/>
      <c r="J8" s="104"/>
      <c r="K8" s="90"/>
      <c r="L8" s="105"/>
      <c r="M8" s="91"/>
      <c r="N8"/>
      <c r="O8"/>
      <c r="P8"/>
      <c r="Q8"/>
      <c r="R8" s="96"/>
    </row>
    <row r="9" spans="2:18" x14ac:dyDescent="0.2">
      <c r="B9" s="106"/>
      <c r="C9" s="78"/>
      <c r="D9" s="79"/>
      <c r="E9" s="78"/>
      <c r="F9" s="87"/>
      <c r="I9" s="107"/>
      <c r="L9" s="108"/>
      <c r="M9" s="91"/>
      <c r="N9"/>
      <c r="O9"/>
      <c r="P9"/>
      <c r="Q9"/>
      <c r="R9" s="96"/>
    </row>
    <row r="10" spans="2:18" ht="13.5" thickBot="1" x14ac:dyDescent="0.25">
      <c r="B10" s="7"/>
      <c r="D10"/>
      <c r="E10" s="109"/>
      <c r="F10" s="110"/>
      <c r="G10" s="111"/>
      <c r="H10" s="112"/>
      <c r="I10" s="113"/>
      <c r="J10" s="114"/>
      <c r="K10" s="114"/>
      <c r="L10" s="115"/>
      <c r="M10" s="116"/>
      <c r="R10" s="117"/>
    </row>
    <row r="11" spans="2:18" x14ac:dyDescent="0.2">
      <c r="B11" s="118" t="s">
        <v>84</v>
      </c>
      <c r="E11" s="109"/>
      <c r="L11" s="119"/>
      <c r="M11"/>
      <c r="N11"/>
      <c r="O11"/>
      <c r="P11"/>
      <c r="Q11"/>
      <c r="R11" s="96"/>
    </row>
    <row r="12" spans="2:18" x14ac:dyDescent="0.2">
      <c r="E12" s="109"/>
      <c r="L12" s="119"/>
      <c r="R12" s="120" t="s">
        <v>62</v>
      </c>
    </row>
    <row r="13" spans="2:18" x14ac:dyDescent="0.2">
      <c r="E13" s="109"/>
      <c r="F13" s="121"/>
      <c r="G13" s="122"/>
      <c r="H13" s="122"/>
      <c r="I13" s="123" t="s">
        <v>60</v>
      </c>
      <c r="J13" s="124">
        <f t="shared" ref="J13:R13" si="0">SUM(J56:J211)</f>
        <v>46713375.035288788</v>
      </c>
      <c r="K13" s="124">
        <f t="shared" si="0"/>
        <v>52343602.91763813</v>
      </c>
      <c r="L13" s="125">
        <f t="shared" si="0"/>
        <v>-5630227.88234929</v>
      </c>
      <c r="M13" s="126">
        <f t="shared" si="0"/>
        <v>-403132.56790902925</v>
      </c>
      <c r="N13" s="124">
        <f t="shared" si="0"/>
        <v>-6033360.4502583239</v>
      </c>
      <c r="O13" s="124">
        <f>SUM(O56:O211)</f>
        <v>0</v>
      </c>
      <c r="P13" s="124">
        <f t="shared" si="0"/>
        <v>0</v>
      </c>
      <c r="Q13" s="124">
        <v>0</v>
      </c>
      <c r="R13" s="125">
        <f t="shared" si="0"/>
        <v>-6033360.4502583239</v>
      </c>
    </row>
    <row r="14" spans="2:18" x14ac:dyDescent="0.2">
      <c r="E14" s="109"/>
      <c r="F14" s="127"/>
      <c r="G14" s="127"/>
      <c r="H14" s="127"/>
      <c r="I14" s="128" t="s">
        <v>61</v>
      </c>
      <c r="J14" s="124">
        <f>SUM(J20:J211)</f>
        <v>175984242.07775435</v>
      </c>
      <c r="K14" s="124">
        <f>SUM(K20:K211)</f>
        <v>197195113.39355576</v>
      </c>
      <c r="L14" s="125">
        <f>SUM(L20:L211)</f>
        <v>-21210871.315801408</v>
      </c>
      <c r="M14" s="184">
        <v>-1518729.4723777771</v>
      </c>
      <c r="N14" s="124">
        <f>SUM(N20:N211)</f>
        <v>-22729600.788179174</v>
      </c>
      <c r="O14" s="124">
        <f>SUM(O20:O211)</f>
        <v>0</v>
      </c>
      <c r="P14" s="124">
        <f>SUM(P20:P211)</f>
        <v>0</v>
      </c>
      <c r="Q14" s="124">
        <v>0</v>
      </c>
      <c r="R14" s="125">
        <f>SUM(R20:R211)</f>
        <v>-22729600.788179174</v>
      </c>
    </row>
    <row r="15" spans="2:18" x14ac:dyDescent="0.2">
      <c r="B15" s="129" t="s">
        <v>86</v>
      </c>
      <c r="E15" s="109"/>
      <c r="J15" s="45"/>
      <c r="L15" s="119"/>
      <c r="M15" s="130"/>
      <c r="N15" s="130"/>
      <c r="O15" s="130"/>
      <c r="P15" s="130"/>
      <c r="Q15" s="130"/>
      <c r="R15" s="131" t="s">
        <v>20</v>
      </c>
    </row>
    <row r="16" spans="2:18" x14ac:dyDescent="0.2">
      <c r="B16" s="132" t="str">
        <f>"** Actual Trued-Up CY"&amp;R1&amp;" Charge reflects "&amp;R1&amp;" True-UP Rate x MW"</f>
        <v>** Actual Trued-Up CY2025 Charge reflects 2025 True-UP Rate x MW</v>
      </c>
      <c r="E16" s="109"/>
      <c r="G16" s="3"/>
      <c r="J16" s="133"/>
      <c r="L16" s="134" t="s">
        <v>11</v>
      </c>
      <c r="M16" s="130"/>
      <c r="N16" s="130"/>
      <c r="O16" s="130"/>
      <c r="P16" s="130"/>
      <c r="Q16" s="130"/>
      <c r="R16" s="135"/>
    </row>
    <row r="17" spans="1:18" x14ac:dyDescent="0.2">
      <c r="B17" s="136" t="s">
        <v>64</v>
      </c>
      <c r="E17" s="109"/>
      <c r="I17" s="137"/>
      <c r="J17" s="138"/>
      <c r="K17" s="137"/>
      <c r="L17" s="137"/>
      <c r="M17" s="137"/>
      <c r="N17" s="137"/>
      <c r="O17" s="137"/>
      <c r="P17" s="137"/>
      <c r="Q17" s="137"/>
      <c r="R17" s="139"/>
    </row>
    <row r="18" spans="1:18" ht="3.6" customHeight="1" x14ac:dyDescent="0.2">
      <c r="I18" s="140"/>
      <c r="J18" s="138"/>
      <c r="K18" s="140"/>
      <c r="L18" s="140"/>
      <c r="M18" s="141"/>
      <c r="N18" s="141"/>
      <c r="O18" s="141"/>
      <c r="P18" s="141"/>
      <c r="Q18" s="141"/>
      <c r="R18" s="142"/>
    </row>
    <row r="19" spans="1:18" ht="38.25" customHeight="1" x14ac:dyDescent="0.2">
      <c r="B19" s="143" t="s">
        <v>55</v>
      </c>
      <c r="C19" s="189" t="s">
        <v>4</v>
      </c>
      <c r="D19" s="189" t="s">
        <v>5</v>
      </c>
      <c r="E19" s="190" t="s">
        <v>0</v>
      </c>
      <c r="F19" s="191" t="s">
        <v>12</v>
      </c>
      <c r="G19" s="192" t="s">
        <v>1</v>
      </c>
      <c r="H19" s="144" t="s">
        <v>50</v>
      </c>
      <c r="I19" s="144" t="s">
        <v>48</v>
      </c>
      <c r="J19" s="145" t="str">
        <f>"True-Up Charge"</f>
        <v>True-Up Charge</v>
      </c>
      <c r="K19" s="145" t="s">
        <v>49</v>
      </c>
      <c r="L19" s="146" t="s">
        <v>3</v>
      </c>
      <c r="M19" s="147" t="s">
        <v>7</v>
      </c>
      <c r="N19" s="148" t="s">
        <v>103</v>
      </c>
      <c r="O19" s="148" t="s">
        <v>88</v>
      </c>
      <c r="P19" s="148" t="s">
        <v>89</v>
      </c>
      <c r="Q19" s="148" t="s">
        <v>90</v>
      </c>
      <c r="R19" s="149" t="s">
        <v>2</v>
      </c>
    </row>
    <row r="20" spans="1:18" ht="12.75" customHeight="1" x14ac:dyDescent="0.2">
      <c r="A20" s="88">
        <v>1</v>
      </c>
      <c r="B20" s="150">
        <f>DATE($R$1,A20,1)</f>
        <v>45658</v>
      </c>
      <c r="C20" s="185">
        <v>45693</v>
      </c>
      <c r="D20" s="185">
        <v>45712</v>
      </c>
      <c r="E20" s="151" t="s">
        <v>21</v>
      </c>
      <c r="F20" s="88">
        <v>9</v>
      </c>
      <c r="G20" s="152">
        <v>2941</v>
      </c>
      <c r="H20" s="153">
        <f>+$K$3</f>
        <v>1862.5628195437541</v>
      </c>
      <c r="I20" s="153">
        <f t="shared" ref="I20:I63" si="1">$J$3</f>
        <v>1662.2202268543867</v>
      </c>
      <c r="J20" s="104">
        <f t="shared" ref="J20:J108" si="2">+$G20*I20</f>
        <v>4888589.6871787515</v>
      </c>
      <c r="K20" s="154">
        <f>+$G20*H20</f>
        <v>5477797.2522781808</v>
      </c>
      <c r="L20" s="155">
        <f t="shared" ref="L20:L34" si="3">+J20-K20</f>
        <v>-589207.56509942934</v>
      </c>
      <c r="M20" s="104">
        <f>G20/$G$212*$M$14</f>
        <v>-42188.12519020943</v>
      </c>
      <c r="N20" s="156">
        <f>SUM(L20:M20)</f>
        <v>-631395.69028963882</v>
      </c>
      <c r="O20" s="104">
        <f>+$P$3</f>
        <v>0</v>
      </c>
      <c r="P20" s="104">
        <f>+G20*O20</f>
        <v>0</v>
      </c>
      <c r="Q20" s="104">
        <v>0</v>
      </c>
      <c r="R20" s="156">
        <f>+N20-Q20</f>
        <v>-631395.69028963882</v>
      </c>
    </row>
    <row r="21" spans="1:18" x14ac:dyDescent="0.2">
      <c r="A21" s="88">
        <v>2</v>
      </c>
      <c r="B21" s="150">
        <f t="shared" ref="B21:B108" si="4">DATE($R$1,A21,1)</f>
        <v>45689</v>
      </c>
      <c r="C21" s="185">
        <v>45721</v>
      </c>
      <c r="D21" s="185">
        <v>45740</v>
      </c>
      <c r="E21" s="157" t="s">
        <v>21</v>
      </c>
      <c r="F21" s="88">
        <v>9</v>
      </c>
      <c r="G21" s="152">
        <v>3221</v>
      </c>
      <c r="H21" s="153">
        <f t="shared" ref="H21:H84" si="5">+$K$3</f>
        <v>1862.5628195437541</v>
      </c>
      <c r="I21" s="153">
        <f t="shared" si="1"/>
        <v>1662.2202268543867</v>
      </c>
      <c r="J21" s="104">
        <f t="shared" si="2"/>
        <v>5354011.3506979793</v>
      </c>
      <c r="K21" s="154">
        <f t="shared" ref="K21:K33" si="6">+$G21*H21</f>
        <v>5999314.8417504318</v>
      </c>
      <c r="L21" s="155">
        <f t="shared" si="3"/>
        <v>-645303.49105245247</v>
      </c>
      <c r="M21" s="104">
        <f t="shared" ref="M21:M84" si="7">G21/$G$212*$M$14</f>
        <v>-46204.675701348031</v>
      </c>
      <c r="N21" s="156">
        <f t="shared" ref="N21:N84" si="8">SUM(L21:M21)</f>
        <v>-691508.16675380047</v>
      </c>
      <c r="O21" s="104">
        <f t="shared" ref="O21:O84" si="9">+$P$3</f>
        <v>0</v>
      </c>
      <c r="P21" s="104">
        <f t="shared" ref="P21:P84" si="10">+G21*O21</f>
        <v>0</v>
      </c>
      <c r="Q21" s="104">
        <v>0</v>
      </c>
      <c r="R21" s="156">
        <f t="shared" ref="R21:R84" si="11">+N21-Q21</f>
        <v>-691508.16675380047</v>
      </c>
    </row>
    <row r="22" spans="1:18" x14ac:dyDescent="0.2">
      <c r="A22" s="88">
        <v>3</v>
      </c>
      <c r="B22" s="150">
        <f t="shared" si="4"/>
        <v>45717</v>
      </c>
      <c r="C22" s="185">
        <v>45750</v>
      </c>
      <c r="D22" s="185">
        <v>45771</v>
      </c>
      <c r="E22" s="157" t="s">
        <v>21</v>
      </c>
      <c r="F22" s="88">
        <v>9</v>
      </c>
      <c r="G22" s="152">
        <v>2419</v>
      </c>
      <c r="H22" s="153">
        <f t="shared" si="5"/>
        <v>1862.5628195437541</v>
      </c>
      <c r="I22" s="153">
        <f t="shared" si="1"/>
        <v>1662.2202268543867</v>
      </c>
      <c r="J22" s="104">
        <f t="shared" si="2"/>
        <v>4020910.7287607617</v>
      </c>
      <c r="K22" s="154">
        <f t="shared" si="6"/>
        <v>4505539.4604763417</v>
      </c>
      <c r="L22" s="155">
        <f t="shared" si="3"/>
        <v>-484628.73171557998</v>
      </c>
      <c r="M22" s="104">
        <f t="shared" si="7"/>
        <v>-34700.127451586741</v>
      </c>
      <c r="N22" s="156">
        <f t="shared" si="8"/>
        <v>-519328.85916716675</v>
      </c>
      <c r="O22" s="104">
        <f t="shared" si="9"/>
        <v>0</v>
      </c>
      <c r="P22" s="104">
        <f t="shared" si="10"/>
        <v>0</v>
      </c>
      <c r="Q22" s="104">
        <v>0</v>
      </c>
      <c r="R22" s="156">
        <f t="shared" si="11"/>
        <v>-519328.85916716675</v>
      </c>
    </row>
    <row r="23" spans="1:18" x14ac:dyDescent="0.2">
      <c r="A23" s="88">
        <v>4</v>
      </c>
      <c r="B23" s="150">
        <f t="shared" si="4"/>
        <v>45748</v>
      </c>
      <c r="C23" s="185">
        <v>45782</v>
      </c>
      <c r="D23" s="185">
        <v>45803</v>
      </c>
      <c r="E23" s="157" t="s">
        <v>21</v>
      </c>
      <c r="F23" s="88">
        <v>9</v>
      </c>
      <c r="G23" s="152">
        <v>2717</v>
      </c>
      <c r="H23" s="153">
        <f t="shared" si="5"/>
        <v>1862.5628195437541</v>
      </c>
      <c r="I23" s="153">
        <f t="shared" si="1"/>
        <v>1662.2202268543867</v>
      </c>
      <c r="J23" s="104">
        <f t="shared" si="2"/>
        <v>4516252.3563633692</v>
      </c>
      <c r="K23" s="154">
        <f t="shared" si="6"/>
        <v>5060583.1807003804</v>
      </c>
      <c r="L23" s="155">
        <f t="shared" si="3"/>
        <v>-544330.8243370112</v>
      </c>
      <c r="M23" s="104">
        <f t="shared" si="7"/>
        <v>-38974.88478129854</v>
      </c>
      <c r="N23" s="156">
        <f t="shared" si="8"/>
        <v>-583305.70911830978</v>
      </c>
      <c r="O23" s="104">
        <f t="shared" si="9"/>
        <v>0</v>
      </c>
      <c r="P23" s="104">
        <f t="shared" si="10"/>
        <v>0</v>
      </c>
      <c r="Q23" s="104">
        <v>0</v>
      </c>
      <c r="R23" s="156">
        <f t="shared" si="11"/>
        <v>-583305.70911830978</v>
      </c>
    </row>
    <row r="24" spans="1:18" ht="12" customHeight="1" x14ac:dyDescent="0.2">
      <c r="A24" s="88">
        <v>5</v>
      </c>
      <c r="B24" s="150">
        <f t="shared" si="4"/>
        <v>45778</v>
      </c>
      <c r="C24" s="185">
        <v>45812</v>
      </c>
      <c r="D24" s="185">
        <v>45832</v>
      </c>
      <c r="E24" s="1" t="s">
        <v>21</v>
      </c>
      <c r="F24" s="88">
        <v>9</v>
      </c>
      <c r="G24" s="152">
        <v>3378</v>
      </c>
      <c r="H24" s="153">
        <f t="shared" si="5"/>
        <v>1862.5628195437541</v>
      </c>
      <c r="I24" s="153">
        <f t="shared" si="1"/>
        <v>1662.2202268543867</v>
      </c>
      <c r="J24" s="104">
        <f t="shared" si="2"/>
        <v>5614979.9263141183</v>
      </c>
      <c r="K24" s="154">
        <f t="shared" si="6"/>
        <v>6291737.2044188017</v>
      </c>
      <c r="L24" s="155">
        <f t="shared" si="3"/>
        <v>-676757.27810468338</v>
      </c>
      <c r="M24" s="104">
        <f t="shared" si="7"/>
        <v>-48456.812952236462</v>
      </c>
      <c r="N24" s="156">
        <f t="shared" si="8"/>
        <v>-725214.09105691989</v>
      </c>
      <c r="O24" s="104">
        <f t="shared" si="9"/>
        <v>0</v>
      </c>
      <c r="P24" s="104">
        <f t="shared" si="10"/>
        <v>0</v>
      </c>
      <c r="Q24" s="104">
        <v>0</v>
      </c>
      <c r="R24" s="156">
        <f t="shared" si="11"/>
        <v>-725214.09105691989</v>
      </c>
    </row>
    <row r="25" spans="1:18" x14ac:dyDescent="0.2">
      <c r="A25" s="88">
        <v>6</v>
      </c>
      <c r="B25" s="150">
        <f t="shared" si="4"/>
        <v>45809</v>
      </c>
      <c r="C25" s="185">
        <v>45841</v>
      </c>
      <c r="D25" s="185">
        <v>45862</v>
      </c>
      <c r="E25" s="1" t="s">
        <v>21</v>
      </c>
      <c r="F25" s="88">
        <v>9</v>
      </c>
      <c r="G25" s="152">
        <v>3824</v>
      </c>
      <c r="H25" s="153">
        <f t="shared" si="5"/>
        <v>1862.5628195437541</v>
      </c>
      <c r="I25" s="153">
        <f t="shared" si="1"/>
        <v>1662.2202268543867</v>
      </c>
      <c r="J25" s="104">
        <f t="shared" si="2"/>
        <v>6356330.1474911748</v>
      </c>
      <c r="K25" s="154">
        <f t="shared" si="6"/>
        <v>7122440.221935316</v>
      </c>
      <c r="L25" s="155">
        <f t="shared" si="3"/>
        <v>-766110.07444414124</v>
      </c>
      <c r="M25" s="104">
        <f t="shared" si="7"/>
        <v>-54854.604123550103</v>
      </c>
      <c r="N25" s="156">
        <f t="shared" si="8"/>
        <v>-820964.67856769136</v>
      </c>
      <c r="O25" s="104">
        <f t="shared" si="9"/>
        <v>0</v>
      </c>
      <c r="P25" s="104">
        <f t="shared" si="10"/>
        <v>0</v>
      </c>
      <c r="Q25" s="104">
        <v>0</v>
      </c>
      <c r="R25" s="156">
        <f t="shared" si="11"/>
        <v>-820964.67856769136</v>
      </c>
    </row>
    <row r="26" spans="1:18" x14ac:dyDescent="0.2">
      <c r="A26" s="88">
        <v>7</v>
      </c>
      <c r="B26" s="150">
        <f t="shared" si="4"/>
        <v>45839</v>
      </c>
      <c r="C26" s="185">
        <v>45874</v>
      </c>
      <c r="D26" s="185">
        <v>45894</v>
      </c>
      <c r="E26" s="1" t="s">
        <v>21</v>
      </c>
      <c r="F26" s="88">
        <v>9</v>
      </c>
      <c r="G26" s="152">
        <v>4110</v>
      </c>
      <c r="H26" s="153">
        <f t="shared" si="5"/>
        <v>1862.5628195437541</v>
      </c>
      <c r="I26" s="153">
        <f t="shared" si="1"/>
        <v>1662.2202268543867</v>
      </c>
      <c r="J26" s="104">
        <f t="shared" si="2"/>
        <v>6831725.1323715299</v>
      </c>
      <c r="K26" s="154">
        <f t="shared" si="6"/>
        <v>7655133.1883248296</v>
      </c>
      <c r="L26" s="155">
        <f t="shared" si="3"/>
        <v>-823408.05595329963</v>
      </c>
      <c r="M26" s="104">
        <f t="shared" si="7"/>
        <v>-58957.223574213102</v>
      </c>
      <c r="N26" s="156">
        <f t="shared" si="8"/>
        <v>-882365.27952751273</v>
      </c>
      <c r="O26" s="104">
        <f t="shared" si="9"/>
        <v>0</v>
      </c>
      <c r="P26" s="104">
        <f t="shared" si="10"/>
        <v>0</v>
      </c>
      <c r="Q26" s="104">
        <v>0</v>
      </c>
      <c r="R26" s="156">
        <f t="shared" si="11"/>
        <v>-882365.27952751273</v>
      </c>
    </row>
    <row r="27" spans="1:18" x14ac:dyDescent="0.2">
      <c r="A27" s="88">
        <v>8</v>
      </c>
      <c r="B27" s="150">
        <f t="shared" si="4"/>
        <v>45870</v>
      </c>
      <c r="C27" s="185">
        <v>45904</v>
      </c>
      <c r="D27" s="185">
        <v>45924</v>
      </c>
      <c r="E27" s="1" t="s">
        <v>21</v>
      </c>
      <c r="F27" s="88">
        <v>9</v>
      </c>
      <c r="G27" s="152">
        <v>4096</v>
      </c>
      <c r="H27" s="153">
        <f t="shared" si="5"/>
        <v>1862.5628195437541</v>
      </c>
      <c r="I27" s="153">
        <f t="shared" si="1"/>
        <v>1662.2202268543867</v>
      </c>
      <c r="J27" s="104">
        <f t="shared" si="2"/>
        <v>6808454.0491955681</v>
      </c>
      <c r="K27" s="154">
        <f t="shared" si="6"/>
        <v>7629057.3088512169</v>
      </c>
      <c r="L27" s="155">
        <f t="shared" si="3"/>
        <v>-820603.25965564884</v>
      </c>
      <c r="M27" s="104">
        <f t="shared" si="7"/>
        <v>-58756.39604865617</v>
      </c>
      <c r="N27" s="156">
        <f t="shared" si="8"/>
        <v>-879359.65570430504</v>
      </c>
      <c r="O27" s="104">
        <f t="shared" si="9"/>
        <v>0</v>
      </c>
      <c r="P27" s="104">
        <f t="shared" si="10"/>
        <v>0</v>
      </c>
      <c r="Q27" s="104">
        <v>0</v>
      </c>
      <c r="R27" s="156">
        <f t="shared" si="11"/>
        <v>-879359.65570430504</v>
      </c>
    </row>
    <row r="28" spans="1:18" x14ac:dyDescent="0.2">
      <c r="A28" s="88">
        <v>9</v>
      </c>
      <c r="B28" s="150">
        <f t="shared" si="4"/>
        <v>45901</v>
      </c>
      <c r="C28" s="185">
        <v>45933</v>
      </c>
      <c r="D28" s="185">
        <v>45954</v>
      </c>
      <c r="E28" s="1" t="s">
        <v>21</v>
      </c>
      <c r="F28" s="88">
        <v>9</v>
      </c>
      <c r="G28" s="152">
        <v>3657</v>
      </c>
      <c r="H28" s="153">
        <f t="shared" si="5"/>
        <v>1862.5628195437541</v>
      </c>
      <c r="I28" s="153">
        <f t="shared" si="1"/>
        <v>1662.2202268543867</v>
      </c>
      <c r="J28" s="104">
        <f t="shared" si="2"/>
        <v>6078739.3696064921</v>
      </c>
      <c r="K28" s="154">
        <f t="shared" si="6"/>
        <v>6811392.2310715085</v>
      </c>
      <c r="L28" s="155">
        <f t="shared" si="3"/>
        <v>-732652.86146501638</v>
      </c>
      <c r="M28" s="104">
        <f t="shared" si="7"/>
        <v>-52459.018640121001</v>
      </c>
      <c r="N28" s="156">
        <f t="shared" si="8"/>
        <v>-785111.88010513736</v>
      </c>
      <c r="O28" s="104">
        <f t="shared" si="9"/>
        <v>0</v>
      </c>
      <c r="P28" s="104">
        <f t="shared" si="10"/>
        <v>0</v>
      </c>
      <c r="Q28" s="104">
        <v>0</v>
      </c>
      <c r="R28" s="156">
        <f t="shared" si="11"/>
        <v>-785111.88010513736</v>
      </c>
    </row>
    <row r="29" spans="1:18" x14ac:dyDescent="0.2">
      <c r="A29" s="88">
        <v>10</v>
      </c>
      <c r="B29" s="150">
        <f t="shared" si="4"/>
        <v>45931</v>
      </c>
      <c r="C29" s="185">
        <v>45966</v>
      </c>
      <c r="D29" s="185">
        <v>45985</v>
      </c>
      <c r="E29" s="1" t="s">
        <v>21</v>
      </c>
      <c r="F29" s="88">
        <v>9</v>
      </c>
      <c r="G29" s="152">
        <v>3261</v>
      </c>
      <c r="H29" s="153">
        <f t="shared" si="5"/>
        <v>1862.5628195437541</v>
      </c>
      <c r="I29" s="153">
        <f t="shared" si="1"/>
        <v>1662.2202268543867</v>
      </c>
      <c r="J29" s="104">
        <f t="shared" si="2"/>
        <v>5420500.1597721549</v>
      </c>
      <c r="K29" s="154">
        <f t="shared" si="6"/>
        <v>6073817.3545321822</v>
      </c>
      <c r="L29" s="155">
        <f t="shared" si="3"/>
        <v>-653317.19476002734</v>
      </c>
      <c r="M29" s="104">
        <f t="shared" si="7"/>
        <v>-46778.468631510688</v>
      </c>
      <c r="N29" s="156">
        <f t="shared" si="8"/>
        <v>-700095.66339153808</v>
      </c>
      <c r="O29" s="104">
        <f t="shared" si="9"/>
        <v>0</v>
      </c>
      <c r="P29" s="104">
        <f t="shared" si="10"/>
        <v>0</v>
      </c>
      <c r="Q29" s="104">
        <v>0</v>
      </c>
      <c r="R29" s="156">
        <f t="shared" si="11"/>
        <v>-700095.66339153808</v>
      </c>
    </row>
    <row r="30" spans="1:18" x14ac:dyDescent="0.2">
      <c r="A30" s="88">
        <v>11</v>
      </c>
      <c r="B30" s="150">
        <f t="shared" si="4"/>
        <v>45962</v>
      </c>
      <c r="C30" s="185">
        <v>45994</v>
      </c>
      <c r="D30" s="185">
        <v>46015</v>
      </c>
      <c r="E30" s="1" t="s">
        <v>21</v>
      </c>
      <c r="F30" s="88">
        <v>9</v>
      </c>
      <c r="G30" s="152">
        <v>2449</v>
      </c>
      <c r="H30" s="153">
        <f t="shared" si="5"/>
        <v>1862.5628195437541</v>
      </c>
      <c r="I30" s="153">
        <f t="shared" si="1"/>
        <v>1662.2202268543867</v>
      </c>
      <c r="J30" s="104">
        <f t="shared" si="2"/>
        <v>4070777.3355663931</v>
      </c>
      <c r="K30" s="154">
        <f t="shared" si="6"/>
        <v>4561416.3450626535</v>
      </c>
      <c r="L30" s="155">
        <f t="shared" si="3"/>
        <v>-490639.00949626043</v>
      </c>
      <c r="M30" s="104">
        <f t="shared" si="7"/>
        <v>-35130.472149208734</v>
      </c>
      <c r="N30" s="156">
        <f t="shared" si="8"/>
        <v>-525769.4816454692</v>
      </c>
      <c r="O30" s="104">
        <f t="shared" si="9"/>
        <v>0</v>
      </c>
      <c r="P30" s="104">
        <f t="shared" si="10"/>
        <v>0</v>
      </c>
      <c r="Q30" s="104">
        <v>0</v>
      </c>
      <c r="R30" s="156">
        <f t="shared" si="11"/>
        <v>-525769.4816454692</v>
      </c>
    </row>
    <row r="31" spans="1:18" x14ac:dyDescent="0.2">
      <c r="A31" s="88">
        <v>12</v>
      </c>
      <c r="B31" s="150">
        <f t="shared" si="4"/>
        <v>45992</v>
      </c>
      <c r="C31" s="186">
        <v>46028</v>
      </c>
      <c r="D31" s="187">
        <v>46048</v>
      </c>
      <c r="E31" s="1" t="s">
        <v>21</v>
      </c>
      <c r="F31" s="88">
        <v>9</v>
      </c>
      <c r="G31" s="212">
        <v>2817</v>
      </c>
      <c r="H31" s="158">
        <f t="shared" si="5"/>
        <v>1862.5628195437541</v>
      </c>
      <c r="I31" s="158">
        <f t="shared" si="1"/>
        <v>1662.2202268543867</v>
      </c>
      <c r="J31" s="159">
        <f t="shared" si="2"/>
        <v>4682474.3790488075</v>
      </c>
      <c r="K31" s="160">
        <f t="shared" si="6"/>
        <v>5246839.4626547555</v>
      </c>
      <c r="L31" s="161">
        <f t="shared" si="3"/>
        <v>-564365.0836059479</v>
      </c>
      <c r="M31" s="159">
        <f t="shared" si="7"/>
        <v>-40409.367106705184</v>
      </c>
      <c r="N31" s="213">
        <f t="shared" si="8"/>
        <v>-604774.45071265311</v>
      </c>
      <c r="O31" s="159">
        <f t="shared" si="9"/>
        <v>0</v>
      </c>
      <c r="P31" s="159">
        <f t="shared" si="10"/>
        <v>0</v>
      </c>
      <c r="Q31" s="159">
        <v>0</v>
      </c>
      <c r="R31" s="213">
        <f t="shared" si="11"/>
        <v>-604774.45071265311</v>
      </c>
    </row>
    <row r="32" spans="1:18" x14ac:dyDescent="0.2">
      <c r="A32" s="88">
        <v>1</v>
      </c>
      <c r="B32" s="162">
        <f t="shared" si="4"/>
        <v>45658</v>
      </c>
      <c r="C32" s="163">
        <f t="shared" ref="C32:D43" si="12">+C20</f>
        <v>45693</v>
      </c>
      <c r="D32" s="163">
        <f t="shared" si="12"/>
        <v>45712</v>
      </c>
      <c r="E32" s="164" t="s">
        <v>22</v>
      </c>
      <c r="F32" s="165">
        <v>9</v>
      </c>
      <c r="G32" s="152">
        <v>3414</v>
      </c>
      <c r="H32" s="153">
        <f t="shared" si="5"/>
        <v>1862.5628195437541</v>
      </c>
      <c r="I32" s="153">
        <f t="shared" si="1"/>
        <v>1662.2202268543867</v>
      </c>
      <c r="J32" s="104">
        <f t="shared" si="2"/>
        <v>5674819.8544808766</v>
      </c>
      <c r="K32" s="154">
        <f t="shared" si="6"/>
        <v>6358789.4659223761</v>
      </c>
      <c r="L32" s="155">
        <f t="shared" si="3"/>
        <v>-683969.61144149955</v>
      </c>
      <c r="M32" s="104">
        <f t="shared" si="7"/>
        <v>-48973.226589382859</v>
      </c>
      <c r="N32" s="156">
        <f t="shared" si="8"/>
        <v>-732942.83803088241</v>
      </c>
      <c r="O32" s="104">
        <f t="shared" si="9"/>
        <v>0</v>
      </c>
      <c r="P32" s="104">
        <f t="shared" si="10"/>
        <v>0</v>
      </c>
      <c r="Q32" s="104">
        <v>0</v>
      </c>
      <c r="R32" s="156">
        <f t="shared" si="11"/>
        <v>-732942.83803088241</v>
      </c>
    </row>
    <row r="33" spans="1:18" x14ac:dyDescent="0.2">
      <c r="A33" s="88">
        <v>2</v>
      </c>
      <c r="B33" s="150">
        <f t="shared" si="4"/>
        <v>45689</v>
      </c>
      <c r="C33" s="166">
        <f t="shared" si="12"/>
        <v>45721</v>
      </c>
      <c r="D33" s="166">
        <f t="shared" si="12"/>
        <v>45740</v>
      </c>
      <c r="E33" s="157" t="s">
        <v>22</v>
      </c>
      <c r="F33" s="88">
        <v>9</v>
      </c>
      <c r="G33" s="152">
        <v>3330</v>
      </c>
      <c r="H33" s="153">
        <f t="shared" si="5"/>
        <v>1862.5628195437541</v>
      </c>
      <c r="I33" s="153">
        <f t="shared" si="1"/>
        <v>1662.2202268543867</v>
      </c>
      <c r="J33" s="104">
        <f t="shared" si="2"/>
        <v>5535193.3554251082</v>
      </c>
      <c r="K33" s="154">
        <f t="shared" si="6"/>
        <v>6202334.1890807012</v>
      </c>
      <c r="L33" s="155">
        <f t="shared" si="3"/>
        <v>-667140.83365559299</v>
      </c>
      <c r="M33" s="104">
        <f t="shared" si="7"/>
        <v>-47768.261436041277</v>
      </c>
      <c r="N33" s="156">
        <f t="shared" si="8"/>
        <v>-714909.09509163431</v>
      </c>
      <c r="O33" s="104">
        <f t="shared" si="9"/>
        <v>0</v>
      </c>
      <c r="P33" s="104">
        <f t="shared" si="10"/>
        <v>0</v>
      </c>
      <c r="Q33" s="104">
        <v>0</v>
      </c>
      <c r="R33" s="156">
        <f t="shared" si="11"/>
        <v>-714909.09509163431</v>
      </c>
    </row>
    <row r="34" spans="1:18" x14ac:dyDescent="0.2">
      <c r="A34" s="88">
        <v>3</v>
      </c>
      <c r="B34" s="150">
        <f t="shared" si="4"/>
        <v>45717</v>
      </c>
      <c r="C34" s="166">
        <f t="shared" si="12"/>
        <v>45750</v>
      </c>
      <c r="D34" s="166">
        <f t="shared" si="12"/>
        <v>45771</v>
      </c>
      <c r="E34" s="157" t="s">
        <v>22</v>
      </c>
      <c r="F34" s="88">
        <v>9</v>
      </c>
      <c r="G34" s="152">
        <v>2483</v>
      </c>
      <c r="H34" s="153">
        <f t="shared" si="5"/>
        <v>1862.5628195437541</v>
      </c>
      <c r="I34" s="153">
        <f t="shared" si="1"/>
        <v>1662.2202268543867</v>
      </c>
      <c r="J34" s="104">
        <f t="shared" si="2"/>
        <v>4127292.8232794423</v>
      </c>
      <c r="K34" s="154">
        <f t="shared" ref="K34:K93" si="13">+$G34*H34</f>
        <v>4624743.4809271414</v>
      </c>
      <c r="L34" s="155">
        <f t="shared" si="3"/>
        <v>-497450.65764769912</v>
      </c>
      <c r="M34" s="104">
        <f t="shared" si="7"/>
        <v>-35618.196139846994</v>
      </c>
      <c r="N34" s="156">
        <f t="shared" si="8"/>
        <v>-533068.85378754616</v>
      </c>
      <c r="O34" s="104">
        <f t="shared" si="9"/>
        <v>0</v>
      </c>
      <c r="P34" s="104">
        <f t="shared" si="10"/>
        <v>0</v>
      </c>
      <c r="Q34" s="104">
        <v>0</v>
      </c>
      <c r="R34" s="156">
        <f t="shared" si="11"/>
        <v>-533068.85378754616</v>
      </c>
    </row>
    <row r="35" spans="1:18" x14ac:dyDescent="0.2">
      <c r="A35" s="88">
        <v>4</v>
      </c>
      <c r="B35" s="150">
        <f t="shared" si="4"/>
        <v>45748</v>
      </c>
      <c r="C35" s="166">
        <f t="shared" si="12"/>
        <v>45782</v>
      </c>
      <c r="D35" s="166">
        <f t="shared" si="12"/>
        <v>45803</v>
      </c>
      <c r="E35" s="157" t="s">
        <v>22</v>
      </c>
      <c r="F35" s="88">
        <v>9</v>
      </c>
      <c r="G35" s="152">
        <v>2549</v>
      </c>
      <c r="H35" s="153">
        <f t="shared" si="5"/>
        <v>1862.5628195437541</v>
      </c>
      <c r="I35" s="153">
        <f t="shared" si="1"/>
        <v>1662.2202268543867</v>
      </c>
      <c r="J35" s="104">
        <f t="shared" si="2"/>
        <v>4236999.3582518315</v>
      </c>
      <c r="K35" s="154">
        <f t="shared" si="13"/>
        <v>4747672.6270170296</v>
      </c>
      <c r="L35" s="155">
        <f t="shared" ref="L35:L57" si="14">+J35-K35</f>
        <v>-510673.26876519807</v>
      </c>
      <c r="M35" s="104">
        <f t="shared" si="7"/>
        <v>-36564.954474615377</v>
      </c>
      <c r="N35" s="156">
        <f t="shared" si="8"/>
        <v>-547238.22323981347</v>
      </c>
      <c r="O35" s="104">
        <f t="shared" si="9"/>
        <v>0</v>
      </c>
      <c r="P35" s="104">
        <f t="shared" si="10"/>
        <v>0</v>
      </c>
      <c r="Q35" s="104">
        <v>0</v>
      </c>
      <c r="R35" s="156">
        <f t="shared" si="11"/>
        <v>-547238.22323981347</v>
      </c>
    </row>
    <row r="36" spans="1:18" x14ac:dyDescent="0.2">
      <c r="A36" s="88">
        <v>5</v>
      </c>
      <c r="B36" s="150">
        <f t="shared" si="4"/>
        <v>45778</v>
      </c>
      <c r="C36" s="166">
        <f t="shared" si="12"/>
        <v>45812</v>
      </c>
      <c r="D36" s="166">
        <f t="shared" si="12"/>
        <v>45832</v>
      </c>
      <c r="E36" s="1" t="s">
        <v>22</v>
      </c>
      <c r="F36" s="88">
        <v>9</v>
      </c>
      <c r="G36" s="152">
        <v>3007</v>
      </c>
      <c r="H36" s="153">
        <f t="shared" si="5"/>
        <v>1862.5628195437541</v>
      </c>
      <c r="I36" s="153">
        <f t="shared" si="1"/>
        <v>1662.2202268543867</v>
      </c>
      <c r="J36" s="104">
        <f t="shared" si="2"/>
        <v>4998296.2221511407</v>
      </c>
      <c r="K36" s="154">
        <f t="shared" si="13"/>
        <v>5600726.398368069</v>
      </c>
      <c r="L36" s="155">
        <f t="shared" si="14"/>
        <v>-602430.17621692829</v>
      </c>
      <c r="M36" s="104">
        <f t="shared" si="7"/>
        <v>-43134.883524977806</v>
      </c>
      <c r="N36" s="156">
        <f t="shared" si="8"/>
        <v>-645565.05974190612</v>
      </c>
      <c r="O36" s="104">
        <f t="shared" si="9"/>
        <v>0</v>
      </c>
      <c r="P36" s="104">
        <f t="shared" si="10"/>
        <v>0</v>
      </c>
      <c r="Q36" s="104">
        <v>0</v>
      </c>
      <c r="R36" s="156">
        <f t="shared" si="11"/>
        <v>-645565.05974190612</v>
      </c>
    </row>
    <row r="37" spans="1:18" x14ac:dyDescent="0.2">
      <c r="A37" s="88">
        <v>6</v>
      </c>
      <c r="B37" s="150">
        <f t="shared" si="4"/>
        <v>45809</v>
      </c>
      <c r="C37" s="166">
        <f t="shared" si="12"/>
        <v>45841</v>
      </c>
      <c r="D37" s="166">
        <f t="shared" si="12"/>
        <v>45862</v>
      </c>
      <c r="E37" s="1" t="s">
        <v>22</v>
      </c>
      <c r="F37" s="88">
        <v>9</v>
      </c>
      <c r="G37" s="152">
        <v>3377</v>
      </c>
      <c r="H37" s="153">
        <f t="shared" si="5"/>
        <v>1862.5628195437541</v>
      </c>
      <c r="I37" s="153">
        <f t="shared" si="1"/>
        <v>1662.2202268543867</v>
      </c>
      <c r="J37" s="104">
        <f t="shared" si="2"/>
        <v>5613317.7060872642</v>
      </c>
      <c r="K37" s="154">
        <f t="shared" si="13"/>
        <v>6289874.6415992575</v>
      </c>
      <c r="L37" s="155">
        <f t="shared" si="14"/>
        <v>-676556.93551199324</v>
      </c>
      <c r="M37" s="104">
        <f t="shared" si="7"/>
        <v>-48442.4681289824</v>
      </c>
      <c r="N37" s="156">
        <f t="shared" si="8"/>
        <v>-724999.40364097559</v>
      </c>
      <c r="O37" s="104">
        <f t="shared" si="9"/>
        <v>0</v>
      </c>
      <c r="P37" s="104">
        <f t="shared" si="10"/>
        <v>0</v>
      </c>
      <c r="Q37" s="104">
        <v>0</v>
      </c>
      <c r="R37" s="156">
        <f t="shared" si="11"/>
        <v>-724999.40364097559</v>
      </c>
    </row>
    <row r="38" spans="1:18" x14ac:dyDescent="0.2">
      <c r="A38" s="88">
        <v>7</v>
      </c>
      <c r="B38" s="150">
        <f t="shared" si="4"/>
        <v>45839</v>
      </c>
      <c r="C38" s="166">
        <f t="shared" si="12"/>
        <v>45874</v>
      </c>
      <c r="D38" s="166">
        <f t="shared" si="12"/>
        <v>45894</v>
      </c>
      <c r="E38" s="1" t="s">
        <v>22</v>
      </c>
      <c r="F38" s="88">
        <v>9</v>
      </c>
      <c r="G38" s="152">
        <v>3723</v>
      </c>
      <c r="H38" s="153">
        <f t="shared" si="5"/>
        <v>1862.5628195437541</v>
      </c>
      <c r="I38" s="153">
        <f t="shared" si="1"/>
        <v>1662.2202268543867</v>
      </c>
      <c r="J38" s="104">
        <f t="shared" si="2"/>
        <v>6188445.9045788823</v>
      </c>
      <c r="K38" s="154">
        <f t="shared" si="13"/>
        <v>6934321.3771613967</v>
      </c>
      <c r="L38" s="155">
        <f t="shared" si="14"/>
        <v>-745875.4725825144</v>
      </c>
      <c r="M38" s="104">
        <f t="shared" si="7"/>
        <v>-53405.776974889392</v>
      </c>
      <c r="N38" s="156">
        <f t="shared" si="8"/>
        <v>-799281.24955740385</v>
      </c>
      <c r="O38" s="104">
        <f t="shared" si="9"/>
        <v>0</v>
      </c>
      <c r="P38" s="104">
        <f t="shared" si="10"/>
        <v>0</v>
      </c>
      <c r="Q38" s="104">
        <v>0</v>
      </c>
      <c r="R38" s="156">
        <f t="shared" si="11"/>
        <v>-799281.24955740385</v>
      </c>
    </row>
    <row r="39" spans="1:18" x14ac:dyDescent="0.2">
      <c r="A39" s="88">
        <v>8</v>
      </c>
      <c r="B39" s="150">
        <f t="shared" si="4"/>
        <v>45870</v>
      </c>
      <c r="C39" s="166">
        <f t="shared" si="12"/>
        <v>45904</v>
      </c>
      <c r="D39" s="166">
        <f t="shared" si="12"/>
        <v>45924</v>
      </c>
      <c r="E39" s="1" t="s">
        <v>22</v>
      </c>
      <c r="F39" s="88">
        <v>9</v>
      </c>
      <c r="G39" s="152">
        <v>3715</v>
      </c>
      <c r="H39" s="153">
        <f t="shared" si="5"/>
        <v>1862.5628195437541</v>
      </c>
      <c r="I39" s="153">
        <f t="shared" si="1"/>
        <v>1662.2202268543867</v>
      </c>
      <c r="J39" s="104">
        <f t="shared" si="2"/>
        <v>6175148.1427640468</v>
      </c>
      <c r="K39" s="154">
        <f t="shared" si="13"/>
        <v>6919420.8746050466</v>
      </c>
      <c r="L39" s="155">
        <f t="shared" si="14"/>
        <v>-744272.7318409998</v>
      </c>
      <c r="M39" s="104">
        <f t="shared" si="7"/>
        <v>-53291.018388856857</v>
      </c>
      <c r="N39" s="156">
        <f t="shared" si="8"/>
        <v>-797563.7502298567</v>
      </c>
      <c r="O39" s="104">
        <f t="shared" si="9"/>
        <v>0</v>
      </c>
      <c r="P39" s="104">
        <f t="shared" si="10"/>
        <v>0</v>
      </c>
      <c r="Q39" s="104">
        <v>0</v>
      </c>
      <c r="R39" s="156">
        <f t="shared" si="11"/>
        <v>-797563.7502298567</v>
      </c>
    </row>
    <row r="40" spans="1:18" x14ac:dyDescent="0.2">
      <c r="A40" s="88">
        <v>9</v>
      </c>
      <c r="B40" s="150">
        <f t="shared" si="4"/>
        <v>45901</v>
      </c>
      <c r="C40" s="166">
        <f t="shared" si="12"/>
        <v>45933</v>
      </c>
      <c r="D40" s="166">
        <f t="shared" si="12"/>
        <v>45954</v>
      </c>
      <c r="E40" s="1" t="s">
        <v>22</v>
      </c>
      <c r="F40" s="88">
        <v>9</v>
      </c>
      <c r="G40" s="152">
        <v>3256</v>
      </c>
      <c r="H40" s="153">
        <f t="shared" si="5"/>
        <v>1862.5628195437541</v>
      </c>
      <c r="I40" s="153">
        <f t="shared" si="1"/>
        <v>1662.2202268543867</v>
      </c>
      <c r="J40" s="104">
        <f t="shared" si="2"/>
        <v>5412189.0586378835</v>
      </c>
      <c r="K40" s="154">
        <f t="shared" si="13"/>
        <v>6064504.5404344639</v>
      </c>
      <c r="L40" s="155">
        <f t="shared" si="14"/>
        <v>-652315.48179658037</v>
      </c>
      <c r="M40" s="104">
        <f t="shared" si="7"/>
        <v>-46706.74451524036</v>
      </c>
      <c r="N40" s="156">
        <f t="shared" si="8"/>
        <v>-699022.22631182068</v>
      </c>
      <c r="O40" s="104">
        <f t="shared" si="9"/>
        <v>0</v>
      </c>
      <c r="P40" s="104">
        <f t="shared" si="10"/>
        <v>0</v>
      </c>
      <c r="Q40" s="104">
        <v>0</v>
      </c>
      <c r="R40" s="156">
        <f t="shared" si="11"/>
        <v>-699022.22631182068</v>
      </c>
    </row>
    <row r="41" spans="1:18" x14ac:dyDescent="0.2">
      <c r="A41" s="88">
        <v>10</v>
      </c>
      <c r="B41" s="150">
        <f t="shared" si="4"/>
        <v>45931</v>
      </c>
      <c r="C41" s="166">
        <f t="shared" si="12"/>
        <v>45966</v>
      </c>
      <c r="D41" s="166">
        <f t="shared" si="12"/>
        <v>45985</v>
      </c>
      <c r="E41" s="1" t="s">
        <v>22</v>
      </c>
      <c r="F41" s="88">
        <v>9</v>
      </c>
      <c r="G41" s="152">
        <v>3014</v>
      </c>
      <c r="H41" s="153">
        <f t="shared" si="5"/>
        <v>1862.5628195437541</v>
      </c>
      <c r="I41" s="153">
        <f t="shared" si="1"/>
        <v>1662.2202268543867</v>
      </c>
      <c r="J41" s="104">
        <f t="shared" si="2"/>
        <v>5009931.7637391221</v>
      </c>
      <c r="K41" s="154">
        <f t="shared" si="13"/>
        <v>5613764.3381048748</v>
      </c>
      <c r="L41" s="155">
        <f t="shared" si="14"/>
        <v>-603832.57436575275</v>
      </c>
      <c r="M41" s="104">
        <f t="shared" si="7"/>
        <v>-43235.297287756272</v>
      </c>
      <c r="N41" s="156">
        <f t="shared" si="8"/>
        <v>-647067.87165350898</v>
      </c>
      <c r="O41" s="104">
        <f t="shared" si="9"/>
        <v>0</v>
      </c>
      <c r="P41" s="104">
        <f t="shared" si="10"/>
        <v>0</v>
      </c>
      <c r="Q41" s="104">
        <v>0</v>
      </c>
      <c r="R41" s="156">
        <f t="shared" si="11"/>
        <v>-647067.87165350898</v>
      </c>
    </row>
    <row r="42" spans="1:18" x14ac:dyDescent="0.2">
      <c r="A42" s="88">
        <v>11</v>
      </c>
      <c r="B42" s="150">
        <f t="shared" si="4"/>
        <v>45962</v>
      </c>
      <c r="C42" s="166">
        <f t="shared" si="12"/>
        <v>45994</v>
      </c>
      <c r="D42" s="166">
        <f t="shared" si="12"/>
        <v>46015</v>
      </c>
      <c r="E42" s="1" t="s">
        <v>22</v>
      </c>
      <c r="F42" s="88">
        <v>9</v>
      </c>
      <c r="G42" s="152">
        <v>2338</v>
      </c>
      <c r="H42" s="153">
        <f t="shared" si="5"/>
        <v>1862.5628195437541</v>
      </c>
      <c r="I42" s="153">
        <f t="shared" si="1"/>
        <v>1662.2202268543867</v>
      </c>
      <c r="J42" s="104">
        <f t="shared" si="2"/>
        <v>3886270.890385556</v>
      </c>
      <c r="K42" s="154">
        <f t="shared" si="13"/>
        <v>4354671.8720932975</v>
      </c>
      <c r="L42" s="155">
        <f t="shared" si="14"/>
        <v>-468400.98170774151</v>
      </c>
      <c r="M42" s="104">
        <f t="shared" si="7"/>
        <v>-33538.196768007358</v>
      </c>
      <c r="N42" s="156">
        <f t="shared" si="8"/>
        <v>-501939.17847574886</v>
      </c>
      <c r="O42" s="104">
        <f t="shared" si="9"/>
        <v>0</v>
      </c>
      <c r="P42" s="104">
        <f t="shared" si="10"/>
        <v>0</v>
      </c>
      <c r="Q42" s="104">
        <v>0</v>
      </c>
      <c r="R42" s="156">
        <f t="shared" si="11"/>
        <v>-501939.17847574886</v>
      </c>
    </row>
    <row r="43" spans="1:18" x14ac:dyDescent="0.2">
      <c r="A43" s="88">
        <v>12</v>
      </c>
      <c r="B43" s="150">
        <f t="shared" si="4"/>
        <v>45992</v>
      </c>
      <c r="C43" s="166">
        <f t="shared" si="12"/>
        <v>46028</v>
      </c>
      <c r="D43" s="166">
        <f t="shared" si="12"/>
        <v>46048</v>
      </c>
      <c r="E43" s="1" t="s">
        <v>22</v>
      </c>
      <c r="F43" s="88">
        <v>9</v>
      </c>
      <c r="G43" s="212">
        <v>2969</v>
      </c>
      <c r="H43" s="158">
        <f t="shared" si="5"/>
        <v>1862.5628195437541</v>
      </c>
      <c r="I43" s="158">
        <f t="shared" si="1"/>
        <v>1662.2202268543867</v>
      </c>
      <c r="J43" s="159">
        <f t="shared" si="2"/>
        <v>4935131.8535306742</v>
      </c>
      <c r="K43" s="160">
        <f t="shared" si="13"/>
        <v>5529949.0112254061</v>
      </c>
      <c r="L43" s="161">
        <f t="shared" si="14"/>
        <v>-594817.15769473184</v>
      </c>
      <c r="M43" s="159">
        <f t="shared" si="7"/>
        <v>-42589.780241323286</v>
      </c>
      <c r="N43" s="213">
        <f t="shared" si="8"/>
        <v>-637406.93793605512</v>
      </c>
      <c r="O43" s="159">
        <f t="shared" si="9"/>
        <v>0</v>
      </c>
      <c r="P43" s="159">
        <f t="shared" si="10"/>
        <v>0</v>
      </c>
      <c r="Q43" s="159">
        <v>0</v>
      </c>
      <c r="R43" s="213">
        <f t="shared" si="11"/>
        <v>-637406.93793605512</v>
      </c>
    </row>
    <row r="44" spans="1:18" x14ac:dyDescent="0.2">
      <c r="A44" s="88">
        <v>1</v>
      </c>
      <c r="B44" s="162">
        <f t="shared" ref="B44:B55" si="15">DATE($R$1,A44,1)</f>
        <v>45658</v>
      </c>
      <c r="C44" s="163">
        <f t="shared" ref="C44:D55" si="16">+C32</f>
        <v>45693</v>
      </c>
      <c r="D44" s="163">
        <f t="shared" si="16"/>
        <v>45712</v>
      </c>
      <c r="E44" s="164" t="s">
        <v>83</v>
      </c>
      <c r="F44" s="165">
        <v>9</v>
      </c>
      <c r="G44" s="152">
        <v>211</v>
      </c>
      <c r="H44" s="153">
        <f t="shared" si="5"/>
        <v>1862.5628195437541</v>
      </c>
      <c r="I44" s="153">
        <f t="shared" si="1"/>
        <v>1662.2202268543867</v>
      </c>
      <c r="J44" s="104">
        <f t="shared" ref="J44:J55" si="17">+$G44*I44</f>
        <v>350728.46786627558</v>
      </c>
      <c r="K44" s="154">
        <f t="shared" ref="K44:K55" si="18">+$G44*H44</f>
        <v>393000.75492373214</v>
      </c>
      <c r="L44" s="155">
        <f t="shared" ref="L44:L55" si="19">+J44-K44</f>
        <v>-42272.28705745656</v>
      </c>
      <c r="M44" s="104">
        <f t="shared" si="7"/>
        <v>-3026.7577066080207</v>
      </c>
      <c r="N44" s="156">
        <f t="shared" si="8"/>
        <v>-45299.04476406458</v>
      </c>
      <c r="O44" s="104">
        <f t="shared" si="9"/>
        <v>0</v>
      </c>
      <c r="P44" s="104">
        <f t="shared" si="10"/>
        <v>0</v>
      </c>
      <c r="Q44" s="104">
        <v>0</v>
      </c>
      <c r="R44" s="156">
        <f t="shared" si="11"/>
        <v>-45299.04476406458</v>
      </c>
    </row>
    <row r="45" spans="1:18" x14ac:dyDescent="0.2">
      <c r="A45" s="88">
        <v>2</v>
      </c>
      <c r="B45" s="150">
        <f t="shared" si="15"/>
        <v>45689</v>
      </c>
      <c r="C45" s="166">
        <f t="shared" si="16"/>
        <v>45721</v>
      </c>
      <c r="D45" s="166">
        <f t="shared" si="16"/>
        <v>45740</v>
      </c>
      <c r="E45" s="157" t="s">
        <v>83</v>
      </c>
      <c r="F45" s="88">
        <v>9</v>
      </c>
      <c r="G45" s="152">
        <v>200</v>
      </c>
      <c r="H45" s="153">
        <f t="shared" si="5"/>
        <v>1862.5628195437541</v>
      </c>
      <c r="I45" s="153">
        <f t="shared" si="1"/>
        <v>1662.2202268543867</v>
      </c>
      <c r="J45" s="104">
        <f t="shared" si="17"/>
        <v>332444.04537087737</v>
      </c>
      <c r="K45" s="154">
        <f t="shared" si="18"/>
        <v>372512.56390875083</v>
      </c>
      <c r="L45" s="155">
        <f t="shared" si="19"/>
        <v>-40068.51853787346</v>
      </c>
      <c r="M45" s="104">
        <f t="shared" si="7"/>
        <v>-2868.9646508132896</v>
      </c>
      <c r="N45" s="156">
        <f t="shared" si="8"/>
        <v>-42937.483188686747</v>
      </c>
      <c r="O45" s="104">
        <f t="shared" si="9"/>
        <v>0</v>
      </c>
      <c r="P45" s="104">
        <f t="shared" si="10"/>
        <v>0</v>
      </c>
      <c r="Q45" s="104">
        <v>0</v>
      </c>
      <c r="R45" s="156">
        <f t="shared" si="11"/>
        <v>-42937.483188686747</v>
      </c>
    </row>
    <row r="46" spans="1:18" x14ac:dyDescent="0.2">
      <c r="A46" s="88">
        <v>3</v>
      </c>
      <c r="B46" s="150">
        <f t="shared" si="15"/>
        <v>45717</v>
      </c>
      <c r="C46" s="166">
        <f t="shared" si="16"/>
        <v>45750</v>
      </c>
      <c r="D46" s="166">
        <f t="shared" si="16"/>
        <v>45771</v>
      </c>
      <c r="E46" s="157" t="s">
        <v>83</v>
      </c>
      <c r="F46" s="88">
        <v>9</v>
      </c>
      <c r="G46" s="152">
        <v>122</v>
      </c>
      <c r="H46" s="153">
        <f t="shared" si="5"/>
        <v>1862.5628195437541</v>
      </c>
      <c r="I46" s="153">
        <f t="shared" si="1"/>
        <v>1662.2202268543867</v>
      </c>
      <c r="J46" s="104">
        <f t="shared" si="17"/>
        <v>202790.86767623518</v>
      </c>
      <c r="K46" s="154">
        <f t="shared" si="18"/>
        <v>227232.663984338</v>
      </c>
      <c r="L46" s="155">
        <f t="shared" si="19"/>
        <v>-24441.796308102814</v>
      </c>
      <c r="M46" s="104">
        <f t="shared" si="7"/>
        <v>-1750.0684369961066</v>
      </c>
      <c r="N46" s="156">
        <f t="shared" si="8"/>
        <v>-26191.864745098919</v>
      </c>
      <c r="O46" s="104">
        <f t="shared" si="9"/>
        <v>0</v>
      </c>
      <c r="P46" s="104">
        <f t="shared" si="10"/>
        <v>0</v>
      </c>
      <c r="Q46" s="104">
        <v>0</v>
      </c>
      <c r="R46" s="156">
        <f t="shared" si="11"/>
        <v>-26191.864745098919</v>
      </c>
    </row>
    <row r="47" spans="1:18" x14ac:dyDescent="0.2">
      <c r="A47" s="88">
        <v>4</v>
      </c>
      <c r="B47" s="150">
        <f t="shared" si="15"/>
        <v>45748</v>
      </c>
      <c r="C47" s="166">
        <f t="shared" si="16"/>
        <v>45782</v>
      </c>
      <c r="D47" s="166">
        <f t="shared" si="16"/>
        <v>45803</v>
      </c>
      <c r="E47" s="157" t="s">
        <v>83</v>
      </c>
      <c r="F47" s="88">
        <v>9</v>
      </c>
      <c r="G47" s="152">
        <v>109</v>
      </c>
      <c r="H47" s="153">
        <f t="shared" si="5"/>
        <v>1862.5628195437541</v>
      </c>
      <c r="I47" s="153">
        <f t="shared" si="1"/>
        <v>1662.2202268543867</v>
      </c>
      <c r="J47" s="104">
        <f t="shared" si="17"/>
        <v>181182.00472712817</v>
      </c>
      <c r="K47" s="154">
        <f t="shared" si="18"/>
        <v>203019.3473302692</v>
      </c>
      <c r="L47" s="155">
        <f t="shared" si="19"/>
        <v>-21837.342603141034</v>
      </c>
      <c r="M47" s="104">
        <f t="shared" si="7"/>
        <v>-1563.585734693243</v>
      </c>
      <c r="N47" s="156">
        <f t="shared" si="8"/>
        <v>-23400.928337834277</v>
      </c>
      <c r="O47" s="104">
        <f t="shared" si="9"/>
        <v>0</v>
      </c>
      <c r="P47" s="104">
        <f t="shared" si="10"/>
        <v>0</v>
      </c>
      <c r="Q47" s="104">
        <v>0</v>
      </c>
      <c r="R47" s="156">
        <f t="shared" si="11"/>
        <v>-23400.928337834277</v>
      </c>
    </row>
    <row r="48" spans="1:18" x14ac:dyDescent="0.2">
      <c r="A48" s="88">
        <v>5</v>
      </c>
      <c r="B48" s="150">
        <f t="shared" si="15"/>
        <v>45778</v>
      </c>
      <c r="C48" s="166">
        <f t="shared" si="16"/>
        <v>45812</v>
      </c>
      <c r="D48" s="166">
        <f t="shared" si="16"/>
        <v>45832</v>
      </c>
      <c r="E48" s="157" t="s">
        <v>83</v>
      </c>
      <c r="F48" s="88">
        <v>9</v>
      </c>
      <c r="G48" s="152">
        <v>102</v>
      </c>
      <c r="H48" s="153">
        <f t="shared" si="5"/>
        <v>1862.5628195437541</v>
      </c>
      <c r="I48" s="153">
        <f t="shared" si="1"/>
        <v>1662.2202268543867</v>
      </c>
      <c r="J48" s="104">
        <f t="shared" si="17"/>
        <v>169546.46313914744</v>
      </c>
      <c r="K48" s="154">
        <f t="shared" si="18"/>
        <v>189981.40759346291</v>
      </c>
      <c r="L48" s="155">
        <f t="shared" si="19"/>
        <v>-20434.944454315468</v>
      </c>
      <c r="M48" s="104">
        <f t="shared" si="7"/>
        <v>-1463.1719719147777</v>
      </c>
      <c r="N48" s="156">
        <f t="shared" si="8"/>
        <v>-21898.116426230245</v>
      </c>
      <c r="O48" s="104">
        <f t="shared" si="9"/>
        <v>0</v>
      </c>
      <c r="P48" s="104">
        <f t="shared" si="10"/>
        <v>0</v>
      </c>
      <c r="Q48" s="104">
        <v>0</v>
      </c>
      <c r="R48" s="156">
        <f t="shared" si="11"/>
        <v>-21898.116426230245</v>
      </c>
    </row>
    <row r="49" spans="1:18" x14ac:dyDescent="0.2">
      <c r="A49" s="88">
        <v>6</v>
      </c>
      <c r="B49" s="150">
        <f t="shared" si="15"/>
        <v>45809</v>
      </c>
      <c r="C49" s="166">
        <f t="shared" si="16"/>
        <v>45841</v>
      </c>
      <c r="D49" s="166">
        <f t="shared" si="16"/>
        <v>45862</v>
      </c>
      <c r="E49" s="157" t="s">
        <v>83</v>
      </c>
      <c r="F49" s="88">
        <v>9</v>
      </c>
      <c r="G49" s="152">
        <v>131</v>
      </c>
      <c r="H49" s="153">
        <f t="shared" si="5"/>
        <v>1862.5628195437541</v>
      </c>
      <c r="I49" s="153">
        <f t="shared" si="1"/>
        <v>1662.2202268543867</v>
      </c>
      <c r="J49" s="104">
        <f t="shared" si="17"/>
        <v>217750.84971792466</v>
      </c>
      <c r="K49" s="154">
        <f t="shared" si="18"/>
        <v>243995.72936023178</v>
      </c>
      <c r="L49" s="155">
        <f t="shared" si="19"/>
        <v>-26244.879642307118</v>
      </c>
      <c r="M49" s="104">
        <f t="shared" si="7"/>
        <v>-1879.1718462827048</v>
      </c>
      <c r="N49" s="156">
        <f t="shared" si="8"/>
        <v>-28124.051488589823</v>
      </c>
      <c r="O49" s="104">
        <f t="shared" si="9"/>
        <v>0</v>
      </c>
      <c r="P49" s="104">
        <f t="shared" si="10"/>
        <v>0</v>
      </c>
      <c r="Q49" s="104">
        <v>0</v>
      </c>
      <c r="R49" s="156">
        <f t="shared" si="11"/>
        <v>-28124.051488589823</v>
      </c>
    </row>
    <row r="50" spans="1:18" x14ac:dyDescent="0.2">
      <c r="A50" s="88">
        <v>7</v>
      </c>
      <c r="B50" s="150">
        <f t="shared" si="15"/>
        <v>45839</v>
      </c>
      <c r="C50" s="166">
        <f t="shared" si="16"/>
        <v>45874</v>
      </c>
      <c r="D50" s="166">
        <f t="shared" si="16"/>
        <v>45894</v>
      </c>
      <c r="E50" s="157" t="s">
        <v>83</v>
      </c>
      <c r="F50" s="88">
        <v>9</v>
      </c>
      <c r="G50" s="152">
        <v>146</v>
      </c>
      <c r="H50" s="153">
        <f t="shared" si="5"/>
        <v>1862.5628195437541</v>
      </c>
      <c r="I50" s="153">
        <f t="shared" si="1"/>
        <v>1662.2202268543867</v>
      </c>
      <c r="J50" s="104">
        <f t="shared" si="17"/>
        <v>242684.15312074046</v>
      </c>
      <c r="K50" s="154">
        <f t="shared" si="18"/>
        <v>271934.17165338813</v>
      </c>
      <c r="L50" s="155">
        <f t="shared" si="19"/>
        <v>-29250.018532647664</v>
      </c>
      <c r="M50" s="104">
        <f t="shared" si="7"/>
        <v>-2094.3441950937013</v>
      </c>
      <c r="N50" s="156">
        <f t="shared" si="8"/>
        <v>-31344.362727741365</v>
      </c>
      <c r="O50" s="104">
        <f t="shared" si="9"/>
        <v>0</v>
      </c>
      <c r="P50" s="104">
        <f t="shared" si="10"/>
        <v>0</v>
      </c>
      <c r="Q50" s="104">
        <v>0</v>
      </c>
      <c r="R50" s="156">
        <f t="shared" si="11"/>
        <v>-31344.362727741365</v>
      </c>
    </row>
    <row r="51" spans="1:18" x14ac:dyDescent="0.2">
      <c r="A51" s="88">
        <v>8</v>
      </c>
      <c r="B51" s="150">
        <f t="shared" si="15"/>
        <v>45870</v>
      </c>
      <c r="C51" s="166">
        <f t="shared" si="16"/>
        <v>45904</v>
      </c>
      <c r="D51" s="166">
        <f t="shared" si="16"/>
        <v>45924</v>
      </c>
      <c r="E51" s="157" t="s">
        <v>83</v>
      </c>
      <c r="F51" s="88">
        <v>9</v>
      </c>
      <c r="G51" s="152">
        <v>149</v>
      </c>
      <c r="H51" s="153">
        <f t="shared" si="5"/>
        <v>1862.5628195437541</v>
      </c>
      <c r="I51" s="153">
        <f t="shared" si="1"/>
        <v>1662.2202268543867</v>
      </c>
      <c r="J51" s="104">
        <f t="shared" si="17"/>
        <v>247670.81380130362</v>
      </c>
      <c r="K51" s="154">
        <f t="shared" si="18"/>
        <v>277521.86011201935</v>
      </c>
      <c r="L51" s="155">
        <f t="shared" si="19"/>
        <v>-29851.046310715727</v>
      </c>
      <c r="M51" s="104">
        <f t="shared" si="7"/>
        <v>-2137.3786648559008</v>
      </c>
      <c r="N51" s="156">
        <f t="shared" si="8"/>
        <v>-31988.424975571626</v>
      </c>
      <c r="O51" s="104">
        <f t="shared" si="9"/>
        <v>0</v>
      </c>
      <c r="P51" s="104">
        <f t="shared" si="10"/>
        <v>0</v>
      </c>
      <c r="Q51" s="104">
        <v>0</v>
      </c>
      <c r="R51" s="156">
        <f t="shared" si="11"/>
        <v>-31988.424975571626</v>
      </c>
    </row>
    <row r="52" spans="1:18" x14ac:dyDescent="0.2">
      <c r="A52" s="88">
        <v>9</v>
      </c>
      <c r="B52" s="150">
        <f t="shared" si="15"/>
        <v>45901</v>
      </c>
      <c r="C52" s="166">
        <f t="shared" si="16"/>
        <v>45933</v>
      </c>
      <c r="D52" s="166">
        <f t="shared" si="16"/>
        <v>45954</v>
      </c>
      <c r="E52" s="157" t="s">
        <v>83</v>
      </c>
      <c r="F52" s="88">
        <v>9</v>
      </c>
      <c r="G52" s="152">
        <v>122</v>
      </c>
      <c r="H52" s="153">
        <f t="shared" si="5"/>
        <v>1862.5628195437541</v>
      </c>
      <c r="I52" s="153">
        <f t="shared" si="1"/>
        <v>1662.2202268543867</v>
      </c>
      <c r="J52" s="104">
        <f t="shared" si="17"/>
        <v>202790.86767623518</v>
      </c>
      <c r="K52" s="154">
        <f t="shared" si="18"/>
        <v>227232.663984338</v>
      </c>
      <c r="L52" s="155">
        <f t="shared" si="19"/>
        <v>-24441.796308102814</v>
      </c>
      <c r="M52" s="104">
        <f t="shared" si="7"/>
        <v>-1750.0684369961066</v>
      </c>
      <c r="N52" s="156">
        <f t="shared" si="8"/>
        <v>-26191.864745098919</v>
      </c>
      <c r="O52" s="104">
        <f t="shared" si="9"/>
        <v>0</v>
      </c>
      <c r="P52" s="104">
        <f t="shared" si="10"/>
        <v>0</v>
      </c>
      <c r="Q52" s="104">
        <v>0</v>
      </c>
      <c r="R52" s="156">
        <f t="shared" si="11"/>
        <v>-26191.864745098919</v>
      </c>
    </row>
    <row r="53" spans="1:18" x14ac:dyDescent="0.2">
      <c r="A53" s="88">
        <v>10</v>
      </c>
      <c r="B53" s="150">
        <f t="shared" si="15"/>
        <v>45931</v>
      </c>
      <c r="C53" s="166">
        <f t="shared" si="16"/>
        <v>45966</v>
      </c>
      <c r="D53" s="166">
        <f t="shared" si="16"/>
        <v>45985</v>
      </c>
      <c r="E53" s="157" t="s">
        <v>83</v>
      </c>
      <c r="F53" s="88">
        <v>9</v>
      </c>
      <c r="G53" s="152">
        <v>117</v>
      </c>
      <c r="H53" s="153">
        <f t="shared" si="5"/>
        <v>1862.5628195437541</v>
      </c>
      <c r="I53" s="153">
        <f t="shared" si="1"/>
        <v>1662.2202268543867</v>
      </c>
      <c r="J53" s="104">
        <f t="shared" si="17"/>
        <v>194479.76654196324</v>
      </c>
      <c r="K53" s="154">
        <f t="shared" si="18"/>
        <v>217919.84988661922</v>
      </c>
      <c r="L53" s="155">
        <f t="shared" si="19"/>
        <v>-23440.083344655985</v>
      </c>
      <c r="M53" s="104">
        <f t="shared" si="7"/>
        <v>-1678.3443207257747</v>
      </c>
      <c r="N53" s="156">
        <f t="shared" si="8"/>
        <v>-25118.427665381758</v>
      </c>
      <c r="O53" s="104">
        <f t="shared" si="9"/>
        <v>0</v>
      </c>
      <c r="P53" s="104">
        <f t="shared" si="10"/>
        <v>0</v>
      </c>
      <c r="Q53" s="104">
        <v>0</v>
      </c>
      <c r="R53" s="156">
        <f t="shared" si="11"/>
        <v>-25118.427665381758</v>
      </c>
    </row>
    <row r="54" spans="1:18" x14ac:dyDescent="0.2">
      <c r="A54" s="88">
        <v>11</v>
      </c>
      <c r="B54" s="150">
        <f t="shared" si="15"/>
        <v>45962</v>
      </c>
      <c r="C54" s="166">
        <f t="shared" si="16"/>
        <v>45994</v>
      </c>
      <c r="D54" s="166">
        <f t="shared" si="16"/>
        <v>46015</v>
      </c>
      <c r="E54" s="157" t="s">
        <v>83</v>
      </c>
      <c r="F54" s="88">
        <v>9</v>
      </c>
      <c r="G54" s="152">
        <v>118</v>
      </c>
      <c r="H54" s="153">
        <f t="shared" si="5"/>
        <v>1862.5628195437541</v>
      </c>
      <c r="I54" s="153">
        <f t="shared" si="1"/>
        <v>1662.2202268543867</v>
      </c>
      <c r="J54" s="104">
        <f t="shared" si="17"/>
        <v>196141.98676881765</v>
      </c>
      <c r="K54" s="154">
        <f t="shared" si="18"/>
        <v>219782.41270616298</v>
      </c>
      <c r="L54" s="155">
        <f t="shared" si="19"/>
        <v>-23640.425937345339</v>
      </c>
      <c r="M54" s="104">
        <f t="shared" si="7"/>
        <v>-1692.689143979841</v>
      </c>
      <c r="N54" s="156">
        <f t="shared" si="8"/>
        <v>-25333.115081325181</v>
      </c>
      <c r="O54" s="104">
        <f t="shared" si="9"/>
        <v>0</v>
      </c>
      <c r="P54" s="104">
        <f t="shared" si="10"/>
        <v>0</v>
      </c>
      <c r="Q54" s="104">
        <v>0</v>
      </c>
      <c r="R54" s="156">
        <f t="shared" si="11"/>
        <v>-25333.115081325181</v>
      </c>
    </row>
    <row r="55" spans="1:18" x14ac:dyDescent="0.2">
      <c r="A55" s="88">
        <v>12</v>
      </c>
      <c r="B55" s="150">
        <f t="shared" si="15"/>
        <v>45992</v>
      </c>
      <c r="C55" s="166">
        <f t="shared" si="16"/>
        <v>46028</v>
      </c>
      <c r="D55" s="166">
        <f t="shared" si="16"/>
        <v>46048</v>
      </c>
      <c r="E55" s="157" t="s">
        <v>83</v>
      </c>
      <c r="F55" s="88">
        <v>9</v>
      </c>
      <c r="G55" s="212">
        <v>178</v>
      </c>
      <c r="H55" s="158">
        <f t="shared" si="5"/>
        <v>1862.5628195437541</v>
      </c>
      <c r="I55" s="158">
        <f t="shared" si="1"/>
        <v>1662.2202268543867</v>
      </c>
      <c r="J55" s="159">
        <f t="shared" si="17"/>
        <v>295875.20038008085</v>
      </c>
      <c r="K55" s="160">
        <f t="shared" si="18"/>
        <v>331536.18187878822</v>
      </c>
      <c r="L55" s="161">
        <f t="shared" si="19"/>
        <v>-35660.981498707377</v>
      </c>
      <c r="M55" s="159">
        <f t="shared" si="7"/>
        <v>-2553.3785392238278</v>
      </c>
      <c r="N55" s="213">
        <f t="shared" si="8"/>
        <v>-38214.360037931205</v>
      </c>
      <c r="O55" s="159">
        <f t="shared" si="9"/>
        <v>0</v>
      </c>
      <c r="P55" s="159">
        <f t="shared" si="10"/>
        <v>0</v>
      </c>
      <c r="Q55" s="159">
        <v>0</v>
      </c>
      <c r="R55" s="213">
        <f t="shared" si="11"/>
        <v>-38214.360037931205</v>
      </c>
    </row>
    <row r="56" spans="1:18" s="167" customFormat="1" x14ac:dyDescent="0.2">
      <c r="A56" s="88">
        <v>1</v>
      </c>
      <c r="B56" s="162">
        <f t="shared" si="4"/>
        <v>45658</v>
      </c>
      <c r="C56" s="163">
        <f t="shared" ref="C56:D67" si="20">+C32</f>
        <v>45693</v>
      </c>
      <c r="D56" s="163">
        <f t="shared" si="20"/>
        <v>45712</v>
      </c>
      <c r="E56" s="164" t="s">
        <v>14</v>
      </c>
      <c r="F56" s="165">
        <v>9</v>
      </c>
      <c r="G56" s="152">
        <v>966</v>
      </c>
      <c r="H56" s="153">
        <f t="shared" si="5"/>
        <v>1862.5628195437541</v>
      </c>
      <c r="I56" s="153">
        <f t="shared" si="1"/>
        <v>1662.2202268543867</v>
      </c>
      <c r="J56" s="104">
        <f>+$G56*I56</f>
        <v>1605704.7391413376</v>
      </c>
      <c r="K56" s="154">
        <f t="shared" si="13"/>
        <v>1799235.6836792666</v>
      </c>
      <c r="L56" s="155">
        <f t="shared" si="14"/>
        <v>-193530.94453792903</v>
      </c>
      <c r="M56" s="104">
        <f t="shared" si="7"/>
        <v>-13857.09926342819</v>
      </c>
      <c r="N56" s="156">
        <f t="shared" si="8"/>
        <v>-207388.04380135721</v>
      </c>
      <c r="O56" s="104">
        <f t="shared" si="9"/>
        <v>0</v>
      </c>
      <c r="P56" s="104">
        <f t="shared" si="10"/>
        <v>0</v>
      </c>
      <c r="Q56" s="104">
        <v>0</v>
      </c>
      <c r="R56" s="156">
        <f t="shared" si="11"/>
        <v>-207388.04380135721</v>
      </c>
    </row>
    <row r="57" spans="1:18" x14ac:dyDescent="0.2">
      <c r="A57" s="88">
        <v>2</v>
      </c>
      <c r="B57" s="150">
        <f t="shared" si="4"/>
        <v>45689</v>
      </c>
      <c r="C57" s="166">
        <f t="shared" si="20"/>
        <v>45721</v>
      </c>
      <c r="D57" s="166">
        <f t="shared" si="20"/>
        <v>45740</v>
      </c>
      <c r="E57" s="157" t="s">
        <v>14</v>
      </c>
      <c r="F57" s="88">
        <v>9</v>
      </c>
      <c r="G57" s="152">
        <v>1102</v>
      </c>
      <c r="H57" s="153">
        <f t="shared" si="5"/>
        <v>1862.5628195437541</v>
      </c>
      <c r="I57" s="153">
        <f t="shared" si="1"/>
        <v>1662.2202268543867</v>
      </c>
      <c r="J57" s="104">
        <f t="shared" si="2"/>
        <v>1831766.6899935342</v>
      </c>
      <c r="K57" s="154">
        <f t="shared" si="13"/>
        <v>2052544.2271372171</v>
      </c>
      <c r="L57" s="155">
        <f t="shared" si="14"/>
        <v>-220777.53714368283</v>
      </c>
      <c r="M57" s="104">
        <f t="shared" si="7"/>
        <v>-15807.995225981225</v>
      </c>
      <c r="N57" s="156">
        <f t="shared" si="8"/>
        <v>-236585.53236966406</v>
      </c>
      <c r="O57" s="104">
        <f t="shared" si="9"/>
        <v>0</v>
      </c>
      <c r="P57" s="104">
        <f t="shared" si="10"/>
        <v>0</v>
      </c>
      <c r="Q57" s="104">
        <v>0</v>
      </c>
      <c r="R57" s="156">
        <f t="shared" si="11"/>
        <v>-236585.53236966406</v>
      </c>
    </row>
    <row r="58" spans="1:18" x14ac:dyDescent="0.2">
      <c r="A58" s="88">
        <v>3</v>
      </c>
      <c r="B58" s="150">
        <f t="shared" si="4"/>
        <v>45717</v>
      </c>
      <c r="C58" s="166">
        <f t="shared" si="20"/>
        <v>45750</v>
      </c>
      <c r="D58" s="166">
        <f t="shared" si="20"/>
        <v>45771</v>
      </c>
      <c r="E58" s="157" t="s">
        <v>14</v>
      </c>
      <c r="F58" s="88">
        <v>9</v>
      </c>
      <c r="G58" s="152">
        <v>715</v>
      </c>
      <c r="H58" s="153">
        <f t="shared" si="5"/>
        <v>1862.5628195437541</v>
      </c>
      <c r="I58" s="153">
        <f t="shared" si="1"/>
        <v>1662.2202268543867</v>
      </c>
      <c r="J58" s="104">
        <f t="shared" si="2"/>
        <v>1188487.4622008866</v>
      </c>
      <c r="K58" s="154">
        <f t="shared" si="13"/>
        <v>1331732.4159737842</v>
      </c>
      <c r="L58" s="155">
        <f>+J58-K58</f>
        <v>-143244.9537728976</v>
      </c>
      <c r="M58" s="104">
        <f t="shared" si="7"/>
        <v>-10256.54862665751</v>
      </c>
      <c r="N58" s="156">
        <f t="shared" si="8"/>
        <v>-153501.50239955512</v>
      </c>
      <c r="O58" s="104">
        <f t="shared" si="9"/>
        <v>0</v>
      </c>
      <c r="P58" s="104">
        <f t="shared" si="10"/>
        <v>0</v>
      </c>
      <c r="Q58" s="104">
        <v>0</v>
      </c>
      <c r="R58" s="156">
        <f t="shared" si="11"/>
        <v>-153501.50239955512</v>
      </c>
    </row>
    <row r="59" spans="1:18" x14ac:dyDescent="0.2">
      <c r="A59" s="88">
        <v>4</v>
      </c>
      <c r="B59" s="150">
        <f t="shared" si="4"/>
        <v>45748</v>
      </c>
      <c r="C59" s="166">
        <f t="shared" si="20"/>
        <v>45782</v>
      </c>
      <c r="D59" s="166">
        <f t="shared" si="20"/>
        <v>45803</v>
      </c>
      <c r="E59" s="157" t="s">
        <v>14</v>
      </c>
      <c r="F59" s="88">
        <v>9</v>
      </c>
      <c r="G59" s="152">
        <v>581</v>
      </c>
      <c r="H59" s="153">
        <f t="shared" si="5"/>
        <v>1862.5628195437541</v>
      </c>
      <c r="I59" s="153">
        <f t="shared" si="1"/>
        <v>1662.2202268543867</v>
      </c>
      <c r="J59" s="104">
        <f t="shared" si="2"/>
        <v>965749.95180239866</v>
      </c>
      <c r="K59" s="154">
        <f t="shared" si="13"/>
        <v>1082148.9981549212</v>
      </c>
      <c r="L59" s="155">
        <f t="shared" ref="L59:L81" si="21">+J59-K59</f>
        <v>-116399.04635252256</v>
      </c>
      <c r="M59" s="104">
        <f t="shared" si="7"/>
        <v>-8334.3423106126065</v>
      </c>
      <c r="N59" s="156">
        <f t="shared" si="8"/>
        <v>-124733.38866313518</v>
      </c>
      <c r="O59" s="104">
        <f t="shared" si="9"/>
        <v>0</v>
      </c>
      <c r="P59" s="104">
        <f t="shared" si="10"/>
        <v>0</v>
      </c>
      <c r="Q59" s="104">
        <v>0</v>
      </c>
      <c r="R59" s="156">
        <f t="shared" si="11"/>
        <v>-124733.38866313518</v>
      </c>
    </row>
    <row r="60" spans="1:18" x14ac:dyDescent="0.2">
      <c r="A60" s="88">
        <v>5</v>
      </c>
      <c r="B60" s="150">
        <f t="shared" si="4"/>
        <v>45778</v>
      </c>
      <c r="C60" s="166">
        <f t="shared" si="20"/>
        <v>45812</v>
      </c>
      <c r="D60" s="166">
        <f t="shared" si="20"/>
        <v>45832</v>
      </c>
      <c r="E60" s="1" t="s">
        <v>14</v>
      </c>
      <c r="F60" s="88">
        <v>9</v>
      </c>
      <c r="G60" s="152">
        <v>781</v>
      </c>
      <c r="H60" s="153">
        <f t="shared" si="5"/>
        <v>1862.5628195437541</v>
      </c>
      <c r="I60" s="153">
        <f t="shared" si="1"/>
        <v>1662.2202268543867</v>
      </c>
      <c r="J60" s="104">
        <f t="shared" si="2"/>
        <v>1298193.997173276</v>
      </c>
      <c r="K60" s="154">
        <f t="shared" si="13"/>
        <v>1454661.5620636719</v>
      </c>
      <c r="L60" s="155">
        <f t="shared" si="21"/>
        <v>-156467.56489039585</v>
      </c>
      <c r="M60" s="104">
        <f t="shared" si="7"/>
        <v>-11203.306961425897</v>
      </c>
      <c r="N60" s="156">
        <f t="shared" si="8"/>
        <v>-167670.87185182175</v>
      </c>
      <c r="O60" s="104">
        <f t="shared" si="9"/>
        <v>0</v>
      </c>
      <c r="P60" s="104">
        <f t="shared" si="10"/>
        <v>0</v>
      </c>
      <c r="Q60" s="104">
        <v>0</v>
      </c>
      <c r="R60" s="156">
        <f t="shared" si="11"/>
        <v>-167670.87185182175</v>
      </c>
    </row>
    <row r="61" spans="1:18" x14ac:dyDescent="0.2">
      <c r="A61" s="88">
        <v>6</v>
      </c>
      <c r="B61" s="150">
        <f t="shared" si="4"/>
        <v>45809</v>
      </c>
      <c r="C61" s="166">
        <f t="shared" si="20"/>
        <v>45841</v>
      </c>
      <c r="D61" s="166">
        <f t="shared" si="20"/>
        <v>45862</v>
      </c>
      <c r="E61" s="1" t="s">
        <v>14</v>
      </c>
      <c r="F61" s="88">
        <v>9</v>
      </c>
      <c r="G61" s="152">
        <v>896</v>
      </c>
      <c r="H61" s="153">
        <f t="shared" si="5"/>
        <v>1862.5628195437541</v>
      </c>
      <c r="I61" s="153">
        <f t="shared" si="1"/>
        <v>1662.2202268543867</v>
      </c>
      <c r="J61" s="104">
        <f t="shared" si="2"/>
        <v>1489349.3232615306</v>
      </c>
      <c r="K61" s="154">
        <f t="shared" si="13"/>
        <v>1668856.2863112036</v>
      </c>
      <c r="L61" s="155">
        <f t="shared" si="21"/>
        <v>-179506.96304967301</v>
      </c>
      <c r="M61" s="104">
        <f t="shared" si="7"/>
        <v>-12852.961635643536</v>
      </c>
      <c r="N61" s="156">
        <f t="shared" si="8"/>
        <v>-192359.92468531654</v>
      </c>
      <c r="O61" s="104">
        <f t="shared" si="9"/>
        <v>0</v>
      </c>
      <c r="P61" s="104">
        <f t="shared" si="10"/>
        <v>0</v>
      </c>
      <c r="Q61" s="104">
        <v>0</v>
      </c>
      <c r="R61" s="156">
        <f t="shared" si="11"/>
        <v>-192359.92468531654</v>
      </c>
    </row>
    <row r="62" spans="1:18" x14ac:dyDescent="0.2">
      <c r="A62" s="88">
        <v>7</v>
      </c>
      <c r="B62" s="150">
        <f t="shared" si="4"/>
        <v>45839</v>
      </c>
      <c r="C62" s="166">
        <f t="shared" si="20"/>
        <v>45874</v>
      </c>
      <c r="D62" s="166">
        <f t="shared" si="20"/>
        <v>45894</v>
      </c>
      <c r="E62" s="1" t="s">
        <v>14</v>
      </c>
      <c r="F62" s="88">
        <v>9</v>
      </c>
      <c r="G62" s="152">
        <v>1028</v>
      </c>
      <c r="H62" s="153">
        <f t="shared" si="5"/>
        <v>1862.5628195437541</v>
      </c>
      <c r="I62" s="153">
        <f t="shared" si="1"/>
        <v>1662.2202268543867</v>
      </c>
      <c r="J62" s="104">
        <f t="shared" si="2"/>
        <v>1708762.3932063095</v>
      </c>
      <c r="K62" s="154">
        <f t="shared" si="13"/>
        <v>1914714.5784909793</v>
      </c>
      <c r="L62" s="155">
        <f t="shared" si="21"/>
        <v>-205952.18528466974</v>
      </c>
      <c r="M62" s="104">
        <f t="shared" si="7"/>
        <v>-14746.47830518031</v>
      </c>
      <c r="N62" s="156">
        <f t="shared" si="8"/>
        <v>-220698.66358985007</v>
      </c>
      <c r="O62" s="104">
        <f t="shared" si="9"/>
        <v>0</v>
      </c>
      <c r="P62" s="104">
        <f t="shared" si="10"/>
        <v>0</v>
      </c>
      <c r="Q62" s="104">
        <v>0</v>
      </c>
      <c r="R62" s="156">
        <f t="shared" si="11"/>
        <v>-220698.66358985007</v>
      </c>
    </row>
    <row r="63" spans="1:18" x14ac:dyDescent="0.2">
      <c r="A63" s="88">
        <v>8</v>
      </c>
      <c r="B63" s="150">
        <f t="shared" si="4"/>
        <v>45870</v>
      </c>
      <c r="C63" s="166">
        <f t="shared" si="20"/>
        <v>45904</v>
      </c>
      <c r="D63" s="166">
        <f t="shared" si="20"/>
        <v>45924</v>
      </c>
      <c r="E63" s="1" t="s">
        <v>14</v>
      </c>
      <c r="F63" s="88">
        <v>9</v>
      </c>
      <c r="G63" s="152">
        <v>1055</v>
      </c>
      <c r="H63" s="153">
        <f t="shared" si="5"/>
        <v>1862.5628195437541</v>
      </c>
      <c r="I63" s="153">
        <f t="shared" si="1"/>
        <v>1662.2202268543867</v>
      </c>
      <c r="J63" s="104">
        <f t="shared" si="2"/>
        <v>1753642.339331378</v>
      </c>
      <c r="K63" s="154">
        <f t="shared" si="13"/>
        <v>1965003.7746186606</v>
      </c>
      <c r="L63" s="155">
        <f t="shared" si="21"/>
        <v>-211361.43528728257</v>
      </c>
      <c r="M63" s="104">
        <f t="shared" si="7"/>
        <v>-15133.788533040104</v>
      </c>
      <c r="N63" s="156">
        <f t="shared" si="8"/>
        <v>-226495.22382032266</v>
      </c>
      <c r="O63" s="104">
        <f t="shared" si="9"/>
        <v>0</v>
      </c>
      <c r="P63" s="104">
        <f t="shared" si="10"/>
        <v>0</v>
      </c>
      <c r="Q63" s="104">
        <v>0</v>
      </c>
      <c r="R63" s="156">
        <f t="shared" si="11"/>
        <v>-226495.22382032266</v>
      </c>
    </row>
    <row r="64" spans="1:18" x14ac:dyDescent="0.2">
      <c r="A64" s="88">
        <v>9</v>
      </c>
      <c r="B64" s="150">
        <f t="shared" si="4"/>
        <v>45901</v>
      </c>
      <c r="C64" s="166">
        <f t="shared" si="20"/>
        <v>45933</v>
      </c>
      <c r="D64" s="166">
        <f t="shared" si="20"/>
        <v>45954</v>
      </c>
      <c r="E64" s="1" t="s">
        <v>14</v>
      </c>
      <c r="F64" s="88">
        <v>9</v>
      </c>
      <c r="G64" s="152">
        <v>815</v>
      </c>
      <c r="H64" s="153">
        <f t="shared" si="5"/>
        <v>1862.5628195437541</v>
      </c>
      <c r="I64" s="153">
        <f t="shared" ref="I64:I107" si="22">$J$3</f>
        <v>1662.2202268543867</v>
      </c>
      <c r="J64" s="104">
        <f t="shared" si="2"/>
        <v>1354709.4848863252</v>
      </c>
      <c r="K64" s="154">
        <f t="shared" si="13"/>
        <v>1517988.6979281597</v>
      </c>
      <c r="L64" s="155">
        <f t="shared" si="21"/>
        <v>-163279.21304183453</v>
      </c>
      <c r="M64" s="104">
        <f t="shared" si="7"/>
        <v>-11691.030952064155</v>
      </c>
      <c r="N64" s="156">
        <f t="shared" si="8"/>
        <v>-174970.24399389868</v>
      </c>
      <c r="O64" s="104">
        <f t="shared" si="9"/>
        <v>0</v>
      </c>
      <c r="P64" s="104">
        <f t="shared" si="10"/>
        <v>0</v>
      </c>
      <c r="Q64" s="104">
        <v>0</v>
      </c>
      <c r="R64" s="156">
        <f t="shared" si="11"/>
        <v>-174970.24399389868</v>
      </c>
    </row>
    <row r="65" spans="1:18" x14ac:dyDescent="0.2">
      <c r="A65" s="88">
        <v>10</v>
      </c>
      <c r="B65" s="150">
        <f t="shared" si="4"/>
        <v>45931</v>
      </c>
      <c r="C65" s="166">
        <f t="shared" si="20"/>
        <v>45966</v>
      </c>
      <c r="D65" s="166">
        <f t="shared" si="20"/>
        <v>45985</v>
      </c>
      <c r="E65" s="1" t="s">
        <v>14</v>
      </c>
      <c r="F65" s="88">
        <v>9</v>
      </c>
      <c r="G65" s="152">
        <v>738</v>
      </c>
      <c r="H65" s="153">
        <f t="shared" si="5"/>
        <v>1862.5628195437541</v>
      </c>
      <c r="I65" s="153">
        <f t="shared" si="22"/>
        <v>1662.2202268543867</v>
      </c>
      <c r="J65" s="104">
        <f t="shared" si="2"/>
        <v>1226718.5274185373</v>
      </c>
      <c r="K65" s="154">
        <f t="shared" si="13"/>
        <v>1374571.3608232907</v>
      </c>
      <c r="L65" s="155">
        <f t="shared" si="21"/>
        <v>-147852.83340475336</v>
      </c>
      <c r="M65" s="104">
        <f t="shared" si="7"/>
        <v>-10586.479561501039</v>
      </c>
      <c r="N65" s="156">
        <f t="shared" si="8"/>
        <v>-158439.31296625439</v>
      </c>
      <c r="O65" s="104">
        <f t="shared" si="9"/>
        <v>0</v>
      </c>
      <c r="P65" s="104">
        <f t="shared" si="10"/>
        <v>0</v>
      </c>
      <c r="Q65" s="104">
        <v>0</v>
      </c>
      <c r="R65" s="156">
        <f t="shared" si="11"/>
        <v>-158439.31296625439</v>
      </c>
    </row>
    <row r="66" spans="1:18" x14ac:dyDescent="0.2">
      <c r="A66" s="88">
        <v>11</v>
      </c>
      <c r="B66" s="150">
        <f t="shared" si="4"/>
        <v>45962</v>
      </c>
      <c r="C66" s="166">
        <f t="shared" si="20"/>
        <v>45994</v>
      </c>
      <c r="D66" s="166">
        <f t="shared" si="20"/>
        <v>46015</v>
      </c>
      <c r="E66" s="1" t="s">
        <v>14</v>
      </c>
      <c r="F66" s="88">
        <v>9</v>
      </c>
      <c r="G66" s="152">
        <v>706</v>
      </c>
      <c r="H66" s="153">
        <f t="shared" si="5"/>
        <v>1862.5628195437541</v>
      </c>
      <c r="I66" s="153">
        <f t="shared" si="22"/>
        <v>1662.2202268543867</v>
      </c>
      <c r="J66" s="104">
        <f t="shared" si="2"/>
        <v>1173527.480159197</v>
      </c>
      <c r="K66" s="154">
        <f t="shared" si="13"/>
        <v>1314969.3505978903</v>
      </c>
      <c r="L66" s="155">
        <f t="shared" si="21"/>
        <v>-141441.87043869332</v>
      </c>
      <c r="M66" s="104">
        <f t="shared" si="7"/>
        <v>-10127.445217370912</v>
      </c>
      <c r="N66" s="156">
        <f t="shared" si="8"/>
        <v>-151569.31565606422</v>
      </c>
      <c r="O66" s="104">
        <f t="shared" si="9"/>
        <v>0</v>
      </c>
      <c r="P66" s="104">
        <f t="shared" si="10"/>
        <v>0</v>
      </c>
      <c r="Q66" s="104">
        <v>0</v>
      </c>
      <c r="R66" s="156">
        <f t="shared" si="11"/>
        <v>-151569.31565606422</v>
      </c>
    </row>
    <row r="67" spans="1:18" s="170" customFormat="1" x14ac:dyDescent="0.2">
      <c r="A67" s="88">
        <v>12</v>
      </c>
      <c r="B67" s="168">
        <f t="shared" si="4"/>
        <v>45992</v>
      </c>
      <c r="C67" s="166">
        <f t="shared" si="20"/>
        <v>46028</v>
      </c>
      <c r="D67" s="166">
        <f t="shared" si="20"/>
        <v>46048</v>
      </c>
      <c r="E67" s="169" t="s">
        <v>14</v>
      </c>
      <c r="F67" s="127">
        <v>9</v>
      </c>
      <c r="G67" s="212">
        <v>863</v>
      </c>
      <c r="H67" s="158">
        <f t="shared" si="5"/>
        <v>1862.5628195437541</v>
      </c>
      <c r="I67" s="158">
        <f t="shared" si="22"/>
        <v>1662.2202268543867</v>
      </c>
      <c r="J67" s="159">
        <f t="shared" si="2"/>
        <v>1434496.0557753358</v>
      </c>
      <c r="K67" s="160">
        <f t="shared" si="13"/>
        <v>1607391.7132662598</v>
      </c>
      <c r="L67" s="161">
        <f t="shared" si="21"/>
        <v>-172895.657490924</v>
      </c>
      <c r="M67" s="159">
        <f t="shared" si="7"/>
        <v>-12379.582468259343</v>
      </c>
      <c r="N67" s="213">
        <f t="shared" si="8"/>
        <v>-185275.23995918335</v>
      </c>
      <c r="O67" s="159">
        <f t="shared" si="9"/>
        <v>0</v>
      </c>
      <c r="P67" s="159">
        <f t="shared" si="10"/>
        <v>0</v>
      </c>
      <c r="Q67" s="159">
        <v>0</v>
      </c>
      <c r="R67" s="213">
        <f t="shared" si="11"/>
        <v>-185275.23995918335</v>
      </c>
    </row>
    <row r="68" spans="1:18" x14ac:dyDescent="0.2">
      <c r="A68" s="88">
        <v>1</v>
      </c>
      <c r="B68" s="150">
        <f t="shared" si="4"/>
        <v>45658</v>
      </c>
      <c r="C68" s="163">
        <f t="shared" ref="C68:D79" si="23">+C56</f>
        <v>45693</v>
      </c>
      <c r="D68" s="163">
        <f t="shared" si="23"/>
        <v>45712</v>
      </c>
      <c r="E68" s="151" t="s">
        <v>87</v>
      </c>
      <c r="F68" s="88">
        <v>9</v>
      </c>
      <c r="G68" s="152">
        <v>47</v>
      </c>
      <c r="H68" s="153">
        <f t="shared" si="5"/>
        <v>1862.5628195437541</v>
      </c>
      <c r="I68" s="153">
        <f t="shared" si="22"/>
        <v>1662.2202268543867</v>
      </c>
      <c r="J68" s="104">
        <f t="shared" si="2"/>
        <v>78124.350662156183</v>
      </c>
      <c r="K68" s="154">
        <f t="shared" si="13"/>
        <v>87540.452518556442</v>
      </c>
      <c r="L68" s="155">
        <f t="shared" si="21"/>
        <v>-9416.1018564002588</v>
      </c>
      <c r="M68" s="104">
        <f t="shared" si="7"/>
        <v>-674.20669294112304</v>
      </c>
      <c r="N68" s="156">
        <f t="shared" si="8"/>
        <v>-10090.308549341382</v>
      </c>
      <c r="O68" s="104">
        <f t="shared" si="9"/>
        <v>0</v>
      </c>
      <c r="P68" s="104">
        <f t="shared" si="10"/>
        <v>0</v>
      </c>
      <c r="Q68" s="104">
        <v>0</v>
      </c>
      <c r="R68" s="156">
        <f t="shared" si="11"/>
        <v>-10090.308549341382</v>
      </c>
    </row>
    <row r="69" spans="1:18" x14ac:dyDescent="0.2">
      <c r="A69" s="88">
        <v>2</v>
      </c>
      <c r="B69" s="150">
        <f t="shared" si="4"/>
        <v>45689</v>
      </c>
      <c r="C69" s="166">
        <f t="shared" si="23"/>
        <v>45721</v>
      </c>
      <c r="D69" s="166">
        <f t="shared" si="23"/>
        <v>45740</v>
      </c>
      <c r="E69" s="157" t="s">
        <v>87</v>
      </c>
      <c r="F69" s="88">
        <v>9</v>
      </c>
      <c r="G69" s="152">
        <v>57</v>
      </c>
      <c r="H69" s="153">
        <f t="shared" si="5"/>
        <v>1862.5628195437541</v>
      </c>
      <c r="I69" s="153">
        <f t="shared" si="22"/>
        <v>1662.2202268543867</v>
      </c>
      <c r="J69" s="104">
        <f t="shared" si="2"/>
        <v>94746.55293070004</v>
      </c>
      <c r="K69" s="154">
        <f t="shared" si="13"/>
        <v>106166.08071399399</v>
      </c>
      <c r="L69" s="155">
        <f t="shared" si="21"/>
        <v>-11419.527783293946</v>
      </c>
      <c r="M69" s="104">
        <f t="shared" si="7"/>
        <v>-817.65492548178759</v>
      </c>
      <c r="N69" s="156">
        <f t="shared" si="8"/>
        <v>-12237.182708775734</v>
      </c>
      <c r="O69" s="104">
        <f t="shared" si="9"/>
        <v>0</v>
      </c>
      <c r="P69" s="104">
        <f t="shared" si="10"/>
        <v>0</v>
      </c>
      <c r="Q69" s="104">
        <v>0</v>
      </c>
      <c r="R69" s="156">
        <f t="shared" si="11"/>
        <v>-12237.182708775734</v>
      </c>
    </row>
    <row r="70" spans="1:18" x14ac:dyDescent="0.2">
      <c r="A70" s="88">
        <v>3</v>
      </c>
      <c r="B70" s="150">
        <f t="shared" si="4"/>
        <v>45717</v>
      </c>
      <c r="C70" s="166">
        <f t="shared" si="23"/>
        <v>45750</v>
      </c>
      <c r="D70" s="166">
        <f t="shared" si="23"/>
        <v>45771</v>
      </c>
      <c r="E70" s="157" t="s">
        <v>87</v>
      </c>
      <c r="F70" s="88">
        <v>9</v>
      </c>
      <c r="G70" s="152">
        <v>34</v>
      </c>
      <c r="H70" s="153">
        <f t="shared" si="5"/>
        <v>1862.5628195437541</v>
      </c>
      <c r="I70" s="153">
        <f t="shared" si="22"/>
        <v>1662.2202268543867</v>
      </c>
      <c r="J70" s="104">
        <f t="shared" si="2"/>
        <v>56515.487713049151</v>
      </c>
      <c r="K70" s="154">
        <f t="shared" si="13"/>
        <v>63327.135864487638</v>
      </c>
      <c r="L70" s="155">
        <f>+J70-K70</f>
        <v>-6811.6481514384868</v>
      </c>
      <c r="M70" s="104">
        <f t="shared" si="7"/>
        <v>-487.72399063825924</v>
      </c>
      <c r="N70" s="156">
        <f t="shared" si="8"/>
        <v>-7299.3721420767461</v>
      </c>
      <c r="O70" s="104">
        <f t="shared" si="9"/>
        <v>0</v>
      </c>
      <c r="P70" s="104">
        <f t="shared" si="10"/>
        <v>0</v>
      </c>
      <c r="Q70" s="104">
        <v>0</v>
      </c>
      <c r="R70" s="156">
        <f t="shared" si="11"/>
        <v>-7299.3721420767461</v>
      </c>
    </row>
    <row r="71" spans="1:18" x14ac:dyDescent="0.2">
      <c r="A71" s="88">
        <v>4</v>
      </c>
      <c r="B71" s="150">
        <f t="shared" si="4"/>
        <v>45748</v>
      </c>
      <c r="C71" s="166">
        <f t="shared" si="23"/>
        <v>45782</v>
      </c>
      <c r="D71" s="166">
        <f t="shared" si="23"/>
        <v>45803</v>
      </c>
      <c r="E71" s="157" t="s">
        <v>87</v>
      </c>
      <c r="F71" s="88">
        <v>9</v>
      </c>
      <c r="G71" s="152">
        <v>27</v>
      </c>
      <c r="H71" s="153">
        <f t="shared" si="5"/>
        <v>1862.5628195437541</v>
      </c>
      <c r="I71" s="153">
        <f t="shared" si="22"/>
        <v>1662.2202268543867</v>
      </c>
      <c r="J71" s="104">
        <f t="shared" si="2"/>
        <v>44879.94612506844</v>
      </c>
      <c r="K71" s="154">
        <f t="shared" si="13"/>
        <v>50289.19612768136</v>
      </c>
      <c r="L71" s="155">
        <f t="shared" ref="L71:L79" si="24">+J71-K71</f>
        <v>-5409.2500026129201</v>
      </c>
      <c r="M71" s="104">
        <f t="shared" si="7"/>
        <v>-387.31022785979411</v>
      </c>
      <c r="N71" s="156">
        <f t="shared" si="8"/>
        <v>-5796.5602304727145</v>
      </c>
      <c r="O71" s="104">
        <f t="shared" si="9"/>
        <v>0</v>
      </c>
      <c r="P71" s="104">
        <f t="shared" si="10"/>
        <v>0</v>
      </c>
      <c r="Q71" s="104">
        <v>0</v>
      </c>
      <c r="R71" s="156">
        <f t="shared" si="11"/>
        <v>-5796.5602304727145</v>
      </c>
    </row>
    <row r="72" spans="1:18" x14ac:dyDescent="0.2">
      <c r="A72" s="88">
        <v>5</v>
      </c>
      <c r="B72" s="150">
        <f t="shared" si="4"/>
        <v>45778</v>
      </c>
      <c r="C72" s="166">
        <f t="shared" si="23"/>
        <v>45812</v>
      </c>
      <c r="D72" s="166">
        <f t="shared" si="23"/>
        <v>45832</v>
      </c>
      <c r="E72" s="157" t="s">
        <v>87</v>
      </c>
      <c r="F72" s="88">
        <v>9</v>
      </c>
      <c r="G72" s="152">
        <v>40</v>
      </c>
      <c r="H72" s="153">
        <f t="shared" si="5"/>
        <v>1862.5628195437541</v>
      </c>
      <c r="I72" s="153">
        <f t="shared" si="22"/>
        <v>1662.2202268543867</v>
      </c>
      <c r="J72" s="104">
        <f t="shared" si="2"/>
        <v>66488.809074175471</v>
      </c>
      <c r="K72" s="154">
        <f t="shared" si="13"/>
        <v>74502.512781750163</v>
      </c>
      <c r="L72" s="155">
        <f t="shared" si="24"/>
        <v>-8013.7037075746921</v>
      </c>
      <c r="M72" s="104">
        <f t="shared" si="7"/>
        <v>-573.79293016265785</v>
      </c>
      <c r="N72" s="156">
        <f t="shared" si="8"/>
        <v>-8587.4966377373494</v>
      </c>
      <c r="O72" s="104">
        <f t="shared" si="9"/>
        <v>0</v>
      </c>
      <c r="P72" s="104">
        <f t="shared" si="10"/>
        <v>0</v>
      </c>
      <c r="Q72" s="104">
        <v>0</v>
      </c>
      <c r="R72" s="156">
        <f t="shared" si="11"/>
        <v>-8587.4966377373494</v>
      </c>
    </row>
    <row r="73" spans="1:18" x14ac:dyDescent="0.2">
      <c r="A73" s="88">
        <v>6</v>
      </c>
      <c r="B73" s="150">
        <f t="shared" si="4"/>
        <v>45809</v>
      </c>
      <c r="C73" s="166">
        <f t="shared" si="23"/>
        <v>45841</v>
      </c>
      <c r="D73" s="166">
        <f t="shared" si="23"/>
        <v>45862</v>
      </c>
      <c r="E73" s="157" t="s">
        <v>87</v>
      </c>
      <c r="F73" s="88">
        <v>9</v>
      </c>
      <c r="G73" s="152">
        <v>46</v>
      </c>
      <c r="H73" s="153">
        <f t="shared" si="5"/>
        <v>1862.5628195437541</v>
      </c>
      <c r="I73" s="153">
        <f t="shared" si="22"/>
        <v>1662.2202268543867</v>
      </c>
      <c r="J73" s="104">
        <f t="shared" si="2"/>
        <v>76462.130435301791</v>
      </c>
      <c r="K73" s="154">
        <f t="shared" si="13"/>
        <v>85677.889699012696</v>
      </c>
      <c r="L73" s="155">
        <f t="shared" si="24"/>
        <v>-9215.7592637109046</v>
      </c>
      <c r="M73" s="104">
        <f t="shared" si="7"/>
        <v>-659.8618696870567</v>
      </c>
      <c r="N73" s="156">
        <f t="shared" si="8"/>
        <v>-9875.6211333979609</v>
      </c>
      <c r="O73" s="104">
        <f t="shared" si="9"/>
        <v>0</v>
      </c>
      <c r="P73" s="104">
        <f t="shared" si="10"/>
        <v>0</v>
      </c>
      <c r="Q73" s="104">
        <v>0</v>
      </c>
      <c r="R73" s="156">
        <f t="shared" si="11"/>
        <v>-9875.6211333979609</v>
      </c>
    </row>
    <row r="74" spans="1:18" x14ac:dyDescent="0.2">
      <c r="A74" s="88">
        <v>7</v>
      </c>
      <c r="B74" s="150">
        <f t="shared" si="4"/>
        <v>45839</v>
      </c>
      <c r="C74" s="166">
        <f t="shared" si="23"/>
        <v>45874</v>
      </c>
      <c r="D74" s="166">
        <f t="shared" si="23"/>
        <v>45894</v>
      </c>
      <c r="E74" s="157" t="s">
        <v>87</v>
      </c>
      <c r="F74" s="88">
        <v>9</v>
      </c>
      <c r="G74" s="152">
        <v>55</v>
      </c>
      <c r="H74" s="153">
        <f t="shared" si="5"/>
        <v>1862.5628195437541</v>
      </c>
      <c r="I74" s="153">
        <f t="shared" si="22"/>
        <v>1662.2202268543867</v>
      </c>
      <c r="J74" s="104">
        <f t="shared" si="2"/>
        <v>91422.112476991271</v>
      </c>
      <c r="K74" s="154">
        <f t="shared" si="13"/>
        <v>102440.95507490648</v>
      </c>
      <c r="L74" s="155">
        <f t="shared" si="24"/>
        <v>-11018.842597915209</v>
      </c>
      <c r="M74" s="104">
        <f t="shared" si="7"/>
        <v>-788.96527897365479</v>
      </c>
      <c r="N74" s="156">
        <f t="shared" si="8"/>
        <v>-11807.807876888864</v>
      </c>
      <c r="O74" s="104">
        <f t="shared" si="9"/>
        <v>0</v>
      </c>
      <c r="P74" s="104">
        <f t="shared" si="10"/>
        <v>0</v>
      </c>
      <c r="Q74" s="104">
        <v>0</v>
      </c>
      <c r="R74" s="156">
        <f t="shared" si="11"/>
        <v>-11807.807876888864</v>
      </c>
    </row>
    <row r="75" spans="1:18" x14ac:dyDescent="0.2">
      <c r="A75" s="88">
        <v>8</v>
      </c>
      <c r="B75" s="150">
        <f t="shared" si="4"/>
        <v>45870</v>
      </c>
      <c r="C75" s="166">
        <f t="shared" si="23"/>
        <v>45904</v>
      </c>
      <c r="D75" s="166">
        <f t="shared" si="23"/>
        <v>45924</v>
      </c>
      <c r="E75" s="157" t="s">
        <v>87</v>
      </c>
      <c r="F75" s="88">
        <v>9</v>
      </c>
      <c r="G75" s="152">
        <v>55</v>
      </c>
      <c r="H75" s="153">
        <f t="shared" si="5"/>
        <v>1862.5628195437541</v>
      </c>
      <c r="I75" s="153">
        <f t="shared" si="22"/>
        <v>1662.2202268543867</v>
      </c>
      <c r="J75" s="104">
        <f t="shared" si="2"/>
        <v>91422.112476991271</v>
      </c>
      <c r="K75" s="154">
        <f t="shared" si="13"/>
        <v>102440.95507490648</v>
      </c>
      <c r="L75" s="155">
        <f t="shared" si="24"/>
        <v>-11018.842597915209</v>
      </c>
      <c r="M75" s="104">
        <f t="shared" si="7"/>
        <v>-788.96527897365479</v>
      </c>
      <c r="N75" s="156">
        <f t="shared" si="8"/>
        <v>-11807.807876888864</v>
      </c>
      <c r="O75" s="104">
        <f t="shared" si="9"/>
        <v>0</v>
      </c>
      <c r="P75" s="104">
        <f t="shared" si="10"/>
        <v>0</v>
      </c>
      <c r="Q75" s="104">
        <v>0</v>
      </c>
      <c r="R75" s="156">
        <f t="shared" si="11"/>
        <v>-11807.807876888864</v>
      </c>
    </row>
    <row r="76" spans="1:18" x14ac:dyDescent="0.2">
      <c r="A76" s="88">
        <v>9</v>
      </c>
      <c r="B76" s="150">
        <f t="shared" si="4"/>
        <v>45901</v>
      </c>
      <c r="C76" s="166">
        <f t="shared" si="23"/>
        <v>45933</v>
      </c>
      <c r="D76" s="166">
        <f t="shared" si="23"/>
        <v>45954</v>
      </c>
      <c r="E76" s="157" t="s">
        <v>87</v>
      </c>
      <c r="F76" s="88">
        <v>9</v>
      </c>
      <c r="G76" s="152">
        <v>44</v>
      </c>
      <c r="H76" s="153">
        <f t="shared" si="5"/>
        <v>1862.5628195437541</v>
      </c>
      <c r="I76" s="153">
        <f t="shared" si="22"/>
        <v>1662.2202268543867</v>
      </c>
      <c r="J76" s="104">
        <f t="shared" si="2"/>
        <v>73137.689981593023</v>
      </c>
      <c r="K76" s="154">
        <f t="shared" si="13"/>
        <v>81952.764059925175</v>
      </c>
      <c r="L76" s="155">
        <f t="shared" si="24"/>
        <v>-8815.0740783321526</v>
      </c>
      <c r="M76" s="104">
        <f t="shared" si="7"/>
        <v>-631.17222317892379</v>
      </c>
      <c r="N76" s="156">
        <f t="shared" si="8"/>
        <v>-9446.246301511077</v>
      </c>
      <c r="O76" s="104">
        <f t="shared" si="9"/>
        <v>0</v>
      </c>
      <c r="P76" s="104">
        <f t="shared" si="10"/>
        <v>0</v>
      </c>
      <c r="Q76" s="104">
        <v>0</v>
      </c>
      <c r="R76" s="156">
        <f t="shared" si="11"/>
        <v>-9446.246301511077</v>
      </c>
    </row>
    <row r="77" spans="1:18" x14ac:dyDescent="0.2">
      <c r="A77" s="88">
        <v>10</v>
      </c>
      <c r="B77" s="150">
        <f t="shared" si="4"/>
        <v>45931</v>
      </c>
      <c r="C77" s="166">
        <f t="shared" si="23"/>
        <v>45966</v>
      </c>
      <c r="D77" s="166">
        <f t="shared" si="23"/>
        <v>45985</v>
      </c>
      <c r="E77" s="157" t="s">
        <v>87</v>
      </c>
      <c r="F77" s="88">
        <v>9</v>
      </c>
      <c r="G77" s="152">
        <v>34</v>
      </c>
      <c r="H77" s="153">
        <f t="shared" si="5"/>
        <v>1862.5628195437541</v>
      </c>
      <c r="I77" s="153">
        <f t="shared" si="22"/>
        <v>1662.2202268543867</v>
      </c>
      <c r="J77" s="104">
        <f t="shared" si="2"/>
        <v>56515.487713049151</v>
      </c>
      <c r="K77" s="154">
        <f t="shared" si="13"/>
        <v>63327.135864487638</v>
      </c>
      <c r="L77" s="155">
        <f t="shared" si="24"/>
        <v>-6811.6481514384868</v>
      </c>
      <c r="M77" s="104">
        <f t="shared" si="7"/>
        <v>-487.72399063825924</v>
      </c>
      <c r="N77" s="156">
        <f t="shared" si="8"/>
        <v>-7299.3721420767461</v>
      </c>
      <c r="O77" s="104">
        <f t="shared" si="9"/>
        <v>0</v>
      </c>
      <c r="P77" s="104">
        <f t="shared" si="10"/>
        <v>0</v>
      </c>
      <c r="Q77" s="104">
        <v>0</v>
      </c>
      <c r="R77" s="156">
        <f t="shared" si="11"/>
        <v>-7299.3721420767461</v>
      </c>
    </row>
    <row r="78" spans="1:18" x14ac:dyDescent="0.2">
      <c r="A78" s="88">
        <v>11</v>
      </c>
      <c r="B78" s="150">
        <f t="shared" si="4"/>
        <v>45962</v>
      </c>
      <c r="C78" s="166">
        <f t="shared" si="23"/>
        <v>45994</v>
      </c>
      <c r="D78" s="166">
        <f t="shared" si="23"/>
        <v>46015</v>
      </c>
      <c r="E78" s="157" t="s">
        <v>87</v>
      </c>
      <c r="F78" s="88">
        <v>9</v>
      </c>
      <c r="G78" s="152">
        <v>35</v>
      </c>
      <c r="H78" s="153">
        <f t="shared" si="5"/>
        <v>1862.5628195437541</v>
      </c>
      <c r="I78" s="153">
        <f t="shared" si="22"/>
        <v>1662.2202268543867</v>
      </c>
      <c r="J78" s="104">
        <f t="shared" si="2"/>
        <v>58177.707939903536</v>
      </c>
      <c r="K78" s="154">
        <f>+$G78*H78</f>
        <v>65189.698684031391</v>
      </c>
      <c r="L78" s="155">
        <f t="shared" si="24"/>
        <v>-7011.9907441278556</v>
      </c>
      <c r="M78" s="104">
        <f t="shared" si="7"/>
        <v>-502.06881389232569</v>
      </c>
      <c r="N78" s="156">
        <f t="shared" si="8"/>
        <v>-7514.0595580201816</v>
      </c>
      <c r="O78" s="104">
        <f t="shared" si="9"/>
        <v>0</v>
      </c>
      <c r="P78" s="104">
        <f t="shared" si="10"/>
        <v>0</v>
      </c>
      <c r="Q78" s="104">
        <v>0</v>
      </c>
      <c r="R78" s="156">
        <f t="shared" si="11"/>
        <v>-7514.0595580201816</v>
      </c>
    </row>
    <row r="79" spans="1:18" s="170" customFormat="1" x14ac:dyDescent="0.2">
      <c r="A79" s="88">
        <v>12</v>
      </c>
      <c r="B79" s="168">
        <f t="shared" si="4"/>
        <v>45992</v>
      </c>
      <c r="C79" s="171">
        <f t="shared" si="23"/>
        <v>46028</v>
      </c>
      <c r="D79" s="171">
        <f t="shared" si="23"/>
        <v>46048</v>
      </c>
      <c r="E79" s="172" t="s">
        <v>87</v>
      </c>
      <c r="F79" s="127">
        <v>9</v>
      </c>
      <c r="G79" s="212">
        <v>39</v>
      </c>
      <c r="H79" s="158">
        <f t="shared" si="5"/>
        <v>1862.5628195437541</v>
      </c>
      <c r="I79" s="158">
        <f t="shared" si="22"/>
        <v>1662.2202268543867</v>
      </c>
      <c r="J79" s="159">
        <f t="shared" si="2"/>
        <v>64826.58884732108</v>
      </c>
      <c r="K79" s="160">
        <f>+$G79*H79</f>
        <v>72639.949962206418</v>
      </c>
      <c r="L79" s="161">
        <f t="shared" si="24"/>
        <v>-7813.3611148853379</v>
      </c>
      <c r="M79" s="159">
        <f t="shared" si="7"/>
        <v>-559.44810690859151</v>
      </c>
      <c r="N79" s="213">
        <f t="shared" si="8"/>
        <v>-8372.8092217939302</v>
      </c>
      <c r="O79" s="159">
        <f t="shared" si="9"/>
        <v>0</v>
      </c>
      <c r="P79" s="159">
        <f t="shared" si="10"/>
        <v>0</v>
      </c>
      <c r="Q79" s="159">
        <v>0</v>
      </c>
      <c r="R79" s="213">
        <f t="shared" si="11"/>
        <v>-8372.8092217939302</v>
      </c>
    </row>
    <row r="80" spans="1:18" ht="12.75" customHeight="1" x14ac:dyDescent="0.2">
      <c r="A80" s="88">
        <v>1</v>
      </c>
      <c r="B80" s="150">
        <f t="shared" si="4"/>
        <v>45658</v>
      </c>
      <c r="C80" s="163">
        <f t="shared" ref="C80:D91" si="25">+C56</f>
        <v>45693</v>
      </c>
      <c r="D80" s="163">
        <f t="shared" si="25"/>
        <v>45712</v>
      </c>
      <c r="E80" s="151" t="s">
        <v>9</v>
      </c>
      <c r="F80" s="88">
        <v>9</v>
      </c>
      <c r="G80" s="152">
        <v>67</v>
      </c>
      <c r="H80" s="153">
        <f t="shared" si="5"/>
        <v>1862.5628195437541</v>
      </c>
      <c r="I80" s="153">
        <f t="shared" si="22"/>
        <v>1662.2202268543867</v>
      </c>
      <c r="J80" s="104">
        <f t="shared" si="2"/>
        <v>111368.75519924391</v>
      </c>
      <c r="K80" s="154">
        <f t="shared" si="13"/>
        <v>124791.70890943153</v>
      </c>
      <c r="L80" s="155">
        <f t="shared" si="21"/>
        <v>-13422.953710187619</v>
      </c>
      <c r="M80" s="104">
        <f t="shared" si="7"/>
        <v>-961.10315802245213</v>
      </c>
      <c r="N80" s="156">
        <f t="shared" si="8"/>
        <v>-14384.056868210071</v>
      </c>
      <c r="O80" s="104">
        <f t="shared" si="9"/>
        <v>0</v>
      </c>
      <c r="P80" s="104">
        <f t="shared" si="10"/>
        <v>0</v>
      </c>
      <c r="Q80" s="104">
        <v>0</v>
      </c>
      <c r="R80" s="156">
        <f t="shared" si="11"/>
        <v>-14384.056868210071</v>
      </c>
    </row>
    <row r="81" spans="1:18" x14ac:dyDescent="0.2">
      <c r="A81" s="88">
        <v>2</v>
      </c>
      <c r="B81" s="150">
        <f t="shared" si="4"/>
        <v>45689</v>
      </c>
      <c r="C81" s="166">
        <f t="shared" si="25"/>
        <v>45721</v>
      </c>
      <c r="D81" s="166">
        <f t="shared" si="25"/>
        <v>45740</v>
      </c>
      <c r="E81" s="157" t="s">
        <v>9</v>
      </c>
      <c r="F81" s="88">
        <v>9</v>
      </c>
      <c r="G81" s="152">
        <v>71</v>
      </c>
      <c r="H81" s="153">
        <f t="shared" si="5"/>
        <v>1862.5628195437541</v>
      </c>
      <c r="I81" s="153">
        <f t="shared" si="22"/>
        <v>1662.2202268543867</v>
      </c>
      <c r="J81" s="104">
        <f t="shared" si="2"/>
        <v>118017.63610666146</v>
      </c>
      <c r="K81" s="154">
        <f t="shared" si="13"/>
        <v>132241.96018760654</v>
      </c>
      <c r="L81" s="155">
        <f t="shared" si="21"/>
        <v>-14224.32408094508</v>
      </c>
      <c r="M81" s="104">
        <f t="shared" si="7"/>
        <v>-1018.4824510387178</v>
      </c>
      <c r="N81" s="156">
        <f t="shared" si="8"/>
        <v>-15242.806531983797</v>
      </c>
      <c r="O81" s="104">
        <f t="shared" si="9"/>
        <v>0</v>
      </c>
      <c r="P81" s="104">
        <f t="shared" si="10"/>
        <v>0</v>
      </c>
      <c r="Q81" s="104">
        <v>0</v>
      </c>
      <c r="R81" s="156">
        <f t="shared" si="11"/>
        <v>-15242.806531983797</v>
      </c>
    </row>
    <row r="82" spans="1:18" x14ac:dyDescent="0.2">
      <c r="A82" s="88">
        <v>3</v>
      </c>
      <c r="B82" s="150">
        <f t="shared" si="4"/>
        <v>45717</v>
      </c>
      <c r="C82" s="166">
        <f t="shared" si="25"/>
        <v>45750</v>
      </c>
      <c r="D82" s="166">
        <f t="shared" si="25"/>
        <v>45771</v>
      </c>
      <c r="E82" s="157" t="s">
        <v>9</v>
      </c>
      <c r="F82" s="88">
        <v>9</v>
      </c>
      <c r="G82" s="152">
        <v>49</v>
      </c>
      <c r="H82" s="153">
        <f t="shared" si="5"/>
        <v>1862.5628195437541</v>
      </c>
      <c r="I82" s="153">
        <f t="shared" si="22"/>
        <v>1662.2202268543867</v>
      </c>
      <c r="J82" s="104">
        <f t="shared" si="2"/>
        <v>81448.791115864951</v>
      </c>
      <c r="K82" s="154">
        <f t="shared" si="13"/>
        <v>91265.578157643948</v>
      </c>
      <c r="L82" s="155">
        <f>+J82-K82</f>
        <v>-9816.7870417789964</v>
      </c>
      <c r="M82" s="104">
        <f t="shared" si="7"/>
        <v>-702.89633944925595</v>
      </c>
      <c r="N82" s="156">
        <f t="shared" si="8"/>
        <v>-10519.683381228253</v>
      </c>
      <c r="O82" s="104">
        <f t="shared" si="9"/>
        <v>0</v>
      </c>
      <c r="P82" s="104">
        <f t="shared" si="10"/>
        <v>0</v>
      </c>
      <c r="Q82" s="104">
        <v>0</v>
      </c>
      <c r="R82" s="156">
        <f t="shared" si="11"/>
        <v>-10519.683381228253</v>
      </c>
    </row>
    <row r="83" spans="1:18" ht="12" customHeight="1" x14ac:dyDescent="0.2">
      <c r="A83" s="88">
        <v>4</v>
      </c>
      <c r="B83" s="150">
        <f t="shared" si="4"/>
        <v>45748</v>
      </c>
      <c r="C83" s="166">
        <f t="shared" si="25"/>
        <v>45782</v>
      </c>
      <c r="D83" s="166">
        <f t="shared" si="25"/>
        <v>45803</v>
      </c>
      <c r="E83" s="1" t="s">
        <v>9</v>
      </c>
      <c r="F83" s="88">
        <v>9</v>
      </c>
      <c r="G83" s="152">
        <v>37</v>
      </c>
      <c r="H83" s="153">
        <f t="shared" si="5"/>
        <v>1862.5628195437541</v>
      </c>
      <c r="I83" s="153">
        <f t="shared" si="22"/>
        <v>1662.2202268543867</v>
      </c>
      <c r="J83" s="104">
        <f t="shared" si="2"/>
        <v>61502.148393612311</v>
      </c>
      <c r="K83" s="154">
        <f t="shared" si="13"/>
        <v>68914.824323118897</v>
      </c>
      <c r="L83" s="155">
        <f t="shared" ref="L83:L93" si="26">+J83-K83</f>
        <v>-7412.6759295065858</v>
      </c>
      <c r="M83" s="104">
        <f t="shared" si="7"/>
        <v>-530.7584604004586</v>
      </c>
      <c r="N83" s="156">
        <f t="shared" si="8"/>
        <v>-7943.4343899070445</v>
      </c>
      <c r="O83" s="104">
        <f t="shared" si="9"/>
        <v>0</v>
      </c>
      <c r="P83" s="104">
        <f t="shared" si="10"/>
        <v>0</v>
      </c>
      <c r="Q83" s="104">
        <v>0</v>
      </c>
      <c r="R83" s="156">
        <f t="shared" si="11"/>
        <v>-7943.4343899070445</v>
      </c>
    </row>
    <row r="84" spans="1:18" ht="12" customHeight="1" x14ac:dyDescent="0.2">
      <c r="A84" s="88">
        <v>5</v>
      </c>
      <c r="B84" s="150">
        <f t="shared" si="4"/>
        <v>45778</v>
      </c>
      <c r="C84" s="166">
        <f t="shared" si="25"/>
        <v>45812</v>
      </c>
      <c r="D84" s="166">
        <f t="shared" si="25"/>
        <v>45832</v>
      </c>
      <c r="E84" s="1" t="s">
        <v>9</v>
      </c>
      <c r="F84" s="88">
        <v>9</v>
      </c>
      <c r="G84" s="152">
        <v>50</v>
      </c>
      <c r="H84" s="153">
        <f t="shared" si="5"/>
        <v>1862.5628195437541</v>
      </c>
      <c r="I84" s="153">
        <f t="shared" si="22"/>
        <v>1662.2202268543867</v>
      </c>
      <c r="J84" s="104">
        <f t="shared" si="2"/>
        <v>83111.011342719343</v>
      </c>
      <c r="K84" s="154">
        <f t="shared" si="13"/>
        <v>93128.140977187708</v>
      </c>
      <c r="L84" s="155">
        <f t="shared" si="26"/>
        <v>-10017.129634468365</v>
      </c>
      <c r="M84" s="104">
        <f t="shared" si="7"/>
        <v>-717.2411627033224</v>
      </c>
      <c r="N84" s="156">
        <f t="shared" si="8"/>
        <v>-10734.370797171687</v>
      </c>
      <c r="O84" s="104">
        <f t="shared" si="9"/>
        <v>0</v>
      </c>
      <c r="P84" s="104">
        <f t="shared" si="10"/>
        <v>0</v>
      </c>
      <c r="Q84" s="104">
        <v>0</v>
      </c>
      <c r="R84" s="156">
        <f t="shared" si="11"/>
        <v>-10734.370797171687</v>
      </c>
    </row>
    <row r="85" spans="1:18" x14ac:dyDescent="0.2">
      <c r="A85" s="88">
        <v>6</v>
      </c>
      <c r="B85" s="150">
        <f t="shared" si="4"/>
        <v>45809</v>
      </c>
      <c r="C85" s="166">
        <f t="shared" si="25"/>
        <v>45841</v>
      </c>
      <c r="D85" s="166">
        <f t="shared" si="25"/>
        <v>45862</v>
      </c>
      <c r="E85" s="1" t="s">
        <v>9</v>
      </c>
      <c r="F85" s="88">
        <v>9</v>
      </c>
      <c r="G85" s="152">
        <v>54</v>
      </c>
      <c r="H85" s="153">
        <f t="shared" ref="H85:H148" si="27">+$K$3</f>
        <v>1862.5628195437541</v>
      </c>
      <c r="I85" s="153">
        <f t="shared" si="22"/>
        <v>1662.2202268543867</v>
      </c>
      <c r="J85" s="104">
        <f t="shared" si="2"/>
        <v>89759.89225013688</v>
      </c>
      <c r="K85" s="154">
        <f t="shared" si="13"/>
        <v>100578.39225536272</v>
      </c>
      <c r="L85" s="155">
        <f t="shared" si="26"/>
        <v>-10818.50000522584</v>
      </c>
      <c r="M85" s="104">
        <f t="shared" ref="M85:M148" si="28">G85/$G$212*$M$14</f>
        <v>-774.62045571958822</v>
      </c>
      <c r="N85" s="156">
        <f t="shared" ref="N85:N148" si="29">SUM(L85:M85)</f>
        <v>-11593.120460945429</v>
      </c>
      <c r="O85" s="104">
        <f t="shared" ref="O85:O148" si="30">+$P$3</f>
        <v>0</v>
      </c>
      <c r="P85" s="104">
        <f t="shared" ref="P85:P148" si="31">+G85*O85</f>
        <v>0</v>
      </c>
      <c r="Q85" s="104">
        <v>0</v>
      </c>
      <c r="R85" s="156">
        <f t="shared" ref="R85:R148" si="32">+N85-Q85</f>
        <v>-11593.120460945429</v>
      </c>
    </row>
    <row r="86" spans="1:18" x14ac:dyDescent="0.2">
      <c r="A86" s="88">
        <v>7</v>
      </c>
      <c r="B86" s="150">
        <f t="shared" si="4"/>
        <v>45839</v>
      </c>
      <c r="C86" s="166">
        <f t="shared" si="25"/>
        <v>45874</v>
      </c>
      <c r="D86" s="166">
        <f t="shared" si="25"/>
        <v>45894</v>
      </c>
      <c r="E86" s="1" t="s">
        <v>9</v>
      </c>
      <c r="F86" s="88">
        <v>9</v>
      </c>
      <c r="G86" s="152">
        <v>62</v>
      </c>
      <c r="H86" s="153">
        <f t="shared" si="27"/>
        <v>1862.5628195437541</v>
      </c>
      <c r="I86" s="153">
        <f t="shared" si="22"/>
        <v>1662.2202268543867</v>
      </c>
      <c r="J86" s="104">
        <f t="shared" si="2"/>
        <v>103057.65406497198</v>
      </c>
      <c r="K86" s="154">
        <f t="shared" si="13"/>
        <v>115478.89481171276</v>
      </c>
      <c r="L86" s="155">
        <f t="shared" si="26"/>
        <v>-12421.240746740776</v>
      </c>
      <c r="M86" s="104">
        <f t="shared" si="28"/>
        <v>-889.37904175211986</v>
      </c>
      <c r="N86" s="156">
        <f t="shared" si="29"/>
        <v>-13310.619788492895</v>
      </c>
      <c r="O86" s="104">
        <f t="shared" si="30"/>
        <v>0</v>
      </c>
      <c r="P86" s="104">
        <f t="shared" si="31"/>
        <v>0</v>
      </c>
      <c r="Q86" s="104">
        <v>0</v>
      </c>
      <c r="R86" s="156">
        <f t="shared" si="32"/>
        <v>-13310.619788492895</v>
      </c>
    </row>
    <row r="87" spans="1:18" x14ac:dyDescent="0.2">
      <c r="A87" s="88">
        <v>8</v>
      </c>
      <c r="B87" s="150">
        <f t="shared" si="4"/>
        <v>45870</v>
      </c>
      <c r="C87" s="166">
        <f t="shared" si="25"/>
        <v>45904</v>
      </c>
      <c r="D87" s="166">
        <f t="shared" si="25"/>
        <v>45924</v>
      </c>
      <c r="E87" s="1" t="s">
        <v>9</v>
      </c>
      <c r="F87" s="88">
        <v>9</v>
      </c>
      <c r="G87" s="152">
        <v>55</v>
      </c>
      <c r="H87" s="153">
        <f t="shared" si="27"/>
        <v>1862.5628195437541</v>
      </c>
      <c r="I87" s="153">
        <f t="shared" si="22"/>
        <v>1662.2202268543867</v>
      </c>
      <c r="J87" s="104">
        <f t="shared" si="2"/>
        <v>91422.112476991271</v>
      </c>
      <c r="K87" s="154">
        <f t="shared" si="13"/>
        <v>102440.95507490648</v>
      </c>
      <c r="L87" s="155">
        <f t="shared" si="26"/>
        <v>-11018.842597915209</v>
      </c>
      <c r="M87" s="104">
        <f t="shared" si="28"/>
        <v>-788.96527897365479</v>
      </c>
      <c r="N87" s="156">
        <f t="shared" si="29"/>
        <v>-11807.807876888864</v>
      </c>
      <c r="O87" s="104">
        <f t="shared" si="30"/>
        <v>0</v>
      </c>
      <c r="P87" s="104">
        <f t="shared" si="31"/>
        <v>0</v>
      </c>
      <c r="Q87" s="104">
        <v>0</v>
      </c>
      <c r="R87" s="156">
        <f t="shared" si="32"/>
        <v>-11807.807876888864</v>
      </c>
    </row>
    <row r="88" spans="1:18" x14ac:dyDescent="0.2">
      <c r="A88" s="88">
        <v>9</v>
      </c>
      <c r="B88" s="150">
        <f t="shared" si="4"/>
        <v>45901</v>
      </c>
      <c r="C88" s="166">
        <f t="shared" si="25"/>
        <v>45933</v>
      </c>
      <c r="D88" s="166">
        <f t="shared" si="25"/>
        <v>45954</v>
      </c>
      <c r="E88" s="1" t="s">
        <v>9</v>
      </c>
      <c r="F88" s="88">
        <v>9</v>
      </c>
      <c r="G88" s="152">
        <v>50</v>
      </c>
      <c r="H88" s="153">
        <f t="shared" si="27"/>
        <v>1862.5628195437541</v>
      </c>
      <c r="I88" s="153">
        <f t="shared" si="22"/>
        <v>1662.2202268543867</v>
      </c>
      <c r="J88" s="104">
        <f t="shared" si="2"/>
        <v>83111.011342719343</v>
      </c>
      <c r="K88" s="154">
        <f t="shared" si="13"/>
        <v>93128.140977187708</v>
      </c>
      <c r="L88" s="155">
        <f t="shared" si="26"/>
        <v>-10017.129634468365</v>
      </c>
      <c r="M88" s="104">
        <f t="shared" si="28"/>
        <v>-717.2411627033224</v>
      </c>
      <c r="N88" s="156">
        <f t="shared" si="29"/>
        <v>-10734.370797171687</v>
      </c>
      <c r="O88" s="104">
        <f t="shared" si="30"/>
        <v>0</v>
      </c>
      <c r="P88" s="104">
        <f t="shared" si="31"/>
        <v>0</v>
      </c>
      <c r="Q88" s="104">
        <v>0</v>
      </c>
      <c r="R88" s="156">
        <f t="shared" si="32"/>
        <v>-10734.370797171687</v>
      </c>
    </row>
    <row r="89" spans="1:18" x14ac:dyDescent="0.2">
      <c r="A89" s="88">
        <v>10</v>
      </c>
      <c r="B89" s="150">
        <f t="shared" si="4"/>
        <v>45931</v>
      </c>
      <c r="C89" s="166">
        <f t="shared" si="25"/>
        <v>45966</v>
      </c>
      <c r="D89" s="166">
        <f t="shared" si="25"/>
        <v>45985</v>
      </c>
      <c r="E89" s="1" t="s">
        <v>9</v>
      </c>
      <c r="F89" s="88">
        <v>9</v>
      </c>
      <c r="G89" s="152">
        <v>47</v>
      </c>
      <c r="H89" s="153">
        <f t="shared" si="27"/>
        <v>1862.5628195437541</v>
      </c>
      <c r="I89" s="153">
        <f t="shared" si="22"/>
        <v>1662.2202268543867</v>
      </c>
      <c r="J89" s="104">
        <f t="shared" si="2"/>
        <v>78124.350662156183</v>
      </c>
      <c r="K89" s="154">
        <f t="shared" si="13"/>
        <v>87540.452518556442</v>
      </c>
      <c r="L89" s="155">
        <f t="shared" si="26"/>
        <v>-9416.1018564002588</v>
      </c>
      <c r="M89" s="104">
        <f t="shared" si="28"/>
        <v>-674.20669294112304</v>
      </c>
      <c r="N89" s="156">
        <f t="shared" si="29"/>
        <v>-10090.308549341382</v>
      </c>
      <c r="O89" s="104">
        <f t="shared" si="30"/>
        <v>0</v>
      </c>
      <c r="P89" s="104">
        <f t="shared" si="31"/>
        <v>0</v>
      </c>
      <c r="Q89" s="104">
        <v>0</v>
      </c>
      <c r="R89" s="156">
        <f t="shared" si="32"/>
        <v>-10090.308549341382</v>
      </c>
    </row>
    <row r="90" spans="1:18" x14ac:dyDescent="0.2">
      <c r="A90" s="88">
        <v>11</v>
      </c>
      <c r="B90" s="150">
        <f t="shared" si="4"/>
        <v>45962</v>
      </c>
      <c r="C90" s="166">
        <f t="shared" si="25"/>
        <v>45994</v>
      </c>
      <c r="D90" s="166">
        <f t="shared" si="25"/>
        <v>46015</v>
      </c>
      <c r="E90" s="1" t="s">
        <v>9</v>
      </c>
      <c r="F90" s="88">
        <v>9</v>
      </c>
      <c r="G90" s="152">
        <v>48</v>
      </c>
      <c r="H90" s="153">
        <f t="shared" si="27"/>
        <v>1862.5628195437541</v>
      </c>
      <c r="I90" s="153">
        <f t="shared" si="22"/>
        <v>1662.2202268543867</v>
      </c>
      <c r="J90" s="104">
        <f t="shared" si="2"/>
        <v>79786.57088901056</v>
      </c>
      <c r="K90" s="154">
        <f t="shared" si="13"/>
        <v>89403.015338100202</v>
      </c>
      <c r="L90" s="155">
        <f t="shared" si="26"/>
        <v>-9616.4444490896421</v>
      </c>
      <c r="M90" s="104">
        <f t="shared" si="28"/>
        <v>-688.55151619518961</v>
      </c>
      <c r="N90" s="156">
        <f t="shared" si="29"/>
        <v>-10304.995965284832</v>
      </c>
      <c r="O90" s="104">
        <f t="shared" si="30"/>
        <v>0</v>
      </c>
      <c r="P90" s="104">
        <f t="shared" si="31"/>
        <v>0</v>
      </c>
      <c r="Q90" s="104">
        <v>0</v>
      </c>
      <c r="R90" s="156">
        <f t="shared" si="32"/>
        <v>-10304.995965284832</v>
      </c>
    </row>
    <row r="91" spans="1:18" s="170" customFormat="1" x14ac:dyDescent="0.2">
      <c r="A91" s="88">
        <v>12</v>
      </c>
      <c r="B91" s="168">
        <f t="shared" si="4"/>
        <v>45992</v>
      </c>
      <c r="C91" s="166">
        <f t="shared" si="25"/>
        <v>46028</v>
      </c>
      <c r="D91" s="166">
        <f t="shared" si="25"/>
        <v>46048</v>
      </c>
      <c r="E91" s="169" t="s">
        <v>9</v>
      </c>
      <c r="F91" s="127">
        <v>9</v>
      </c>
      <c r="G91" s="212">
        <v>58</v>
      </c>
      <c r="H91" s="158">
        <f t="shared" si="27"/>
        <v>1862.5628195437541</v>
      </c>
      <c r="I91" s="158">
        <f t="shared" si="22"/>
        <v>1662.2202268543867</v>
      </c>
      <c r="J91" s="159">
        <f t="shared" si="2"/>
        <v>96408.773157554431</v>
      </c>
      <c r="K91" s="160">
        <f t="shared" si="13"/>
        <v>108028.64353353775</v>
      </c>
      <c r="L91" s="161">
        <f t="shared" si="26"/>
        <v>-11619.870375983315</v>
      </c>
      <c r="M91" s="159">
        <f t="shared" si="28"/>
        <v>-831.99974873585404</v>
      </c>
      <c r="N91" s="213">
        <f t="shared" si="29"/>
        <v>-12451.870124719169</v>
      </c>
      <c r="O91" s="159">
        <f t="shared" si="30"/>
        <v>0</v>
      </c>
      <c r="P91" s="159">
        <f t="shared" si="31"/>
        <v>0</v>
      </c>
      <c r="Q91" s="159">
        <v>0</v>
      </c>
      <c r="R91" s="213">
        <f t="shared" si="32"/>
        <v>-12451.870124719169</v>
      </c>
    </row>
    <row r="92" spans="1:18" x14ac:dyDescent="0.2">
      <c r="A92" s="88">
        <v>1</v>
      </c>
      <c r="B92" s="150">
        <f t="shared" si="4"/>
        <v>45658</v>
      </c>
      <c r="C92" s="163">
        <f t="shared" ref="C92:D95" si="33">+C80</f>
        <v>45693</v>
      </c>
      <c r="D92" s="163">
        <f t="shared" si="33"/>
        <v>45712</v>
      </c>
      <c r="E92" s="151" t="s">
        <v>8</v>
      </c>
      <c r="F92" s="88">
        <v>9</v>
      </c>
      <c r="G92" s="152">
        <v>89</v>
      </c>
      <c r="H92" s="153">
        <f t="shared" si="27"/>
        <v>1862.5628195437541</v>
      </c>
      <c r="I92" s="153">
        <f t="shared" si="22"/>
        <v>1662.2202268543867</v>
      </c>
      <c r="J92" s="104">
        <f t="shared" si="2"/>
        <v>147937.60019004042</v>
      </c>
      <c r="K92" s="154">
        <f t="shared" si="13"/>
        <v>165768.09093939411</v>
      </c>
      <c r="L92" s="155">
        <f t="shared" si="26"/>
        <v>-17830.490749353688</v>
      </c>
      <c r="M92" s="104">
        <f t="shared" si="28"/>
        <v>-1276.6892696119139</v>
      </c>
      <c r="N92" s="156">
        <f t="shared" si="29"/>
        <v>-19107.180018965602</v>
      </c>
      <c r="O92" s="104">
        <f t="shared" si="30"/>
        <v>0</v>
      </c>
      <c r="P92" s="104">
        <f t="shared" si="31"/>
        <v>0</v>
      </c>
      <c r="Q92" s="104">
        <v>0</v>
      </c>
      <c r="R92" s="156">
        <f t="shared" si="32"/>
        <v>-19107.180018965602</v>
      </c>
    </row>
    <row r="93" spans="1:18" x14ac:dyDescent="0.2">
      <c r="A93" s="88">
        <v>2</v>
      </c>
      <c r="B93" s="150">
        <f t="shared" si="4"/>
        <v>45689</v>
      </c>
      <c r="C93" s="166">
        <f t="shared" si="33"/>
        <v>45721</v>
      </c>
      <c r="D93" s="166">
        <f t="shared" si="33"/>
        <v>45740</v>
      </c>
      <c r="E93" s="157" t="s">
        <v>8</v>
      </c>
      <c r="F93" s="88">
        <v>9</v>
      </c>
      <c r="G93" s="152">
        <v>102</v>
      </c>
      <c r="H93" s="153">
        <f t="shared" si="27"/>
        <v>1862.5628195437541</v>
      </c>
      <c r="I93" s="153">
        <f t="shared" si="22"/>
        <v>1662.2202268543867</v>
      </c>
      <c r="J93" s="104">
        <f t="shared" si="2"/>
        <v>169546.46313914744</v>
      </c>
      <c r="K93" s="154">
        <f t="shared" si="13"/>
        <v>189981.40759346291</v>
      </c>
      <c r="L93" s="155">
        <f t="shared" si="26"/>
        <v>-20434.944454315468</v>
      </c>
      <c r="M93" s="104">
        <f t="shared" si="28"/>
        <v>-1463.1719719147777</v>
      </c>
      <c r="N93" s="156">
        <f t="shared" si="29"/>
        <v>-21898.116426230245</v>
      </c>
      <c r="O93" s="104">
        <f t="shared" si="30"/>
        <v>0</v>
      </c>
      <c r="P93" s="104">
        <f t="shared" si="31"/>
        <v>0</v>
      </c>
      <c r="Q93" s="104">
        <v>0</v>
      </c>
      <c r="R93" s="156">
        <f t="shared" si="32"/>
        <v>-21898.116426230245</v>
      </c>
    </row>
    <row r="94" spans="1:18" x14ac:dyDescent="0.2">
      <c r="A94" s="88">
        <v>3</v>
      </c>
      <c r="B94" s="150">
        <f t="shared" si="4"/>
        <v>45717</v>
      </c>
      <c r="C94" s="166">
        <f t="shared" si="33"/>
        <v>45750</v>
      </c>
      <c r="D94" s="166">
        <f t="shared" si="33"/>
        <v>45771</v>
      </c>
      <c r="E94" s="157" t="s">
        <v>8</v>
      </c>
      <c r="F94" s="88">
        <v>9</v>
      </c>
      <c r="G94" s="152">
        <v>64</v>
      </c>
      <c r="H94" s="153">
        <f t="shared" si="27"/>
        <v>1862.5628195437541</v>
      </c>
      <c r="I94" s="153">
        <f t="shared" si="22"/>
        <v>1662.2202268543867</v>
      </c>
      <c r="J94" s="104">
        <f t="shared" si="2"/>
        <v>106382.09451868075</v>
      </c>
      <c r="K94" s="154">
        <f t="shared" ref="K94:K133" si="34">+$G94*H94</f>
        <v>119204.02045080026</v>
      </c>
      <c r="L94" s="155">
        <f>+J94-K94</f>
        <v>-12821.925932119513</v>
      </c>
      <c r="M94" s="104">
        <f t="shared" si="28"/>
        <v>-918.06868826025266</v>
      </c>
      <c r="N94" s="156">
        <f t="shared" si="29"/>
        <v>-13739.994620379766</v>
      </c>
      <c r="O94" s="104">
        <f t="shared" si="30"/>
        <v>0</v>
      </c>
      <c r="P94" s="104">
        <f t="shared" si="31"/>
        <v>0</v>
      </c>
      <c r="Q94" s="104">
        <v>0</v>
      </c>
      <c r="R94" s="156">
        <f t="shared" si="32"/>
        <v>-13739.994620379766</v>
      </c>
    </row>
    <row r="95" spans="1:18" x14ac:dyDescent="0.2">
      <c r="A95" s="88">
        <v>4</v>
      </c>
      <c r="B95" s="150">
        <f t="shared" si="4"/>
        <v>45748</v>
      </c>
      <c r="C95" s="166">
        <f t="shared" si="33"/>
        <v>45782</v>
      </c>
      <c r="D95" s="166">
        <f t="shared" si="33"/>
        <v>45803</v>
      </c>
      <c r="E95" s="157" t="s">
        <v>8</v>
      </c>
      <c r="F95" s="88">
        <v>9</v>
      </c>
      <c r="G95" s="152">
        <v>71</v>
      </c>
      <c r="H95" s="153">
        <f t="shared" si="27"/>
        <v>1862.5628195437541</v>
      </c>
      <c r="I95" s="153">
        <f t="shared" si="22"/>
        <v>1662.2202268543867</v>
      </c>
      <c r="J95" s="104">
        <f t="shared" si="2"/>
        <v>118017.63610666146</v>
      </c>
      <c r="K95" s="154">
        <f t="shared" si="34"/>
        <v>132241.96018760654</v>
      </c>
      <c r="L95" s="155">
        <f t="shared" ref="L95:L105" si="35">+J95-K95</f>
        <v>-14224.32408094508</v>
      </c>
      <c r="M95" s="104">
        <f t="shared" si="28"/>
        <v>-1018.4824510387178</v>
      </c>
      <c r="N95" s="156">
        <f t="shared" si="29"/>
        <v>-15242.806531983797</v>
      </c>
      <c r="O95" s="104">
        <f t="shared" si="30"/>
        <v>0</v>
      </c>
      <c r="P95" s="104">
        <f t="shared" si="31"/>
        <v>0</v>
      </c>
      <c r="Q95" s="104">
        <v>0</v>
      </c>
      <c r="R95" s="156">
        <f t="shared" si="32"/>
        <v>-15242.806531983797</v>
      </c>
    </row>
    <row r="96" spans="1:18" x14ac:dyDescent="0.2">
      <c r="A96" s="88">
        <v>5</v>
      </c>
      <c r="B96" s="150">
        <f t="shared" si="4"/>
        <v>45778</v>
      </c>
      <c r="C96" s="166">
        <f t="shared" ref="C96:D116" si="36">+C84</f>
        <v>45812</v>
      </c>
      <c r="D96" s="166">
        <f t="shared" si="36"/>
        <v>45832</v>
      </c>
      <c r="E96" s="1" t="s">
        <v>8</v>
      </c>
      <c r="F96" s="88">
        <v>9</v>
      </c>
      <c r="G96" s="152">
        <v>108</v>
      </c>
      <c r="H96" s="153">
        <f t="shared" si="27"/>
        <v>1862.5628195437541</v>
      </c>
      <c r="I96" s="153">
        <f t="shared" si="22"/>
        <v>1662.2202268543867</v>
      </c>
      <c r="J96" s="104">
        <f t="shared" si="2"/>
        <v>179519.78450027376</v>
      </c>
      <c r="K96" s="154">
        <f t="shared" si="34"/>
        <v>201156.78451072544</v>
      </c>
      <c r="L96" s="155">
        <f t="shared" si="35"/>
        <v>-21637.00001045168</v>
      </c>
      <c r="M96" s="104">
        <f t="shared" si="28"/>
        <v>-1549.2409114391764</v>
      </c>
      <c r="N96" s="156">
        <f t="shared" si="29"/>
        <v>-23186.240921890858</v>
      </c>
      <c r="O96" s="104">
        <f t="shared" si="30"/>
        <v>0</v>
      </c>
      <c r="P96" s="104">
        <f t="shared" si="31"/>
        <v>0</v>
      </c>
      <c r="Q96" s="104">
        <v>0</v>
      </c>
      <c r="R96" s="156">
        <f t="shared" si="32"/>
        <v>-23186.240921890858</v>
      </c>
    </row>
    <row r="97" spans="1:18" x14ac:dyDescent="0.2">
      <c r="A97" s="88">
        <v>6</v>
      </c>
      <c r="B97" s="150">
        <f t="shared" si="4"/>
        <v>45809</v>
      </c>
      <c r="C97" s="166">
        <f t="shared" si="36"/>
        <v>45841</v>
      </c>
      <c r="D97" s="166">
        <f t="shared" si="36"/>
        <v>45862</v>
      </c>
      <c r="E97" s="1" t="s">
        <v>8</v>
      </c>
      <c r="F97" s="88">
        <v>9</v>
      </c>
      <c r="G97" s="152">
        <v>130</v>
      </c>
      <c r="H97" s="153">
        <f t="shared" si="27"/>
        <v>1862.5628195437541</v>
      </c>
      <c r="I97" s="153">
        <f t="shared" si="22"/>
        <v>1662.2202268543867</v>
      </c>
      <c r="J97" s="104">
        <f t="shared" si="2"/>
        <v>216088.62949107029</v>
      </c>
      <c r="K97" s="154">
        <f t="shared" si="34"/>
        <v>242133.16654068805</v>
      </c>
      <c r="L97" s="155">
        <f t="shared" si="35"/>
        <v>-26044.537049617764</v>
      </c>
      <c r="M97" s="104">
        <f t="shared" si="28"/>
        <v>-1864.8270230286382</v>
      </c>
      <c r="N97" s="156">
        <f t="shared" si="29"/>
        <v>-27909.364072646404</v>
      </c>
      <c r="O97" s="104">
        <f t="shared" si="30"/>
        <v>0</v>
      </c>
      <c r="P97" s="104">
        <f t="shared" si="31"/>
        <v>0</v>
      </c>
      <c r="Q97" s="104">
        <v>0</v>
      </c>
      <c r="R97" s="156">
        <f t="shared" si="32"/>
        <v>-27909.364072646404</v>
      </c>
    </row>
    <row r="98" spans="1:18" x14ac:dyDescent="0.2">
      <c r="A98" s="88">
        <v>7</v>
      </c>
      <c r="B98" s="150">
        <f t="shared" si="4"/>
        <v>45839</v>
      </c>
      <c r="C98" s="166">
        <f t="shared" si="36"/>
        <v>45874</v>
      </c>
      <c r="D98" s="166">
        <f t="shared" si="36"/>
        <v>45894</v>
      </c>
      <c r="E98" s="1" t="s">
        <v>8</v>
      </c>
      <c r="F98" s="88">
        <v>9</v>
      </c>
      <c r="G98" s="152">
        <v>151</v>
      </c>
      <c r="H98" s="153">
        <f t="shared" si="27"/>
        <v>1862.5628195437541</v>
      </c>
      <c r="I98" s="153">
        <f t="shared" si="22"/>
        <v>1662.2202268543867</v>
      </c>
      <c r="J98" s="104">
        <f t="shared" si="2"/>
        <v>250995.25425501241</v>
      </c>
      <c r="K98" s="154">
        <f t="shared" si="34"/>
        <v>281246.98575110687</v>
      </c>
      <c r="L98" s="155">
        <f t="shared" si="35"/>
        <v>-30251.731496094464</v>
      </c>
      <c r="M98" s="104">
        <f t="shared" si="28"/>
        <v>-2166.0683113640339</v>
      </c>
      <c r="N98" s="156">
        <f t="shared" si="29"/>
        <v>-32417.799807458498</v>
      </c>
      <c r="O98" s="104">
        <f t="shared" si="30"/>
        <v>0</v>
      </c>
      <c r="P98" s="104">
        <f t="shared" si="31"/>
        <v>0</v>
      </c>
      <c r="Q98" s="104">
        <v>0</v>
      </c>
      <c r="R98" s="156">
        <f t="shared" si="32"/>
        <v>-32417.799807458498</v>
      </c>
    </row>
    <row r="99" spans="1:18" x14ac:dyDescent="0.2">
      <c r="A99" s="88">
        <v>8</v>
      </c>
      <c r="B99" s="150">
        <f t="shared" si="4"/>
        <v>45870</v>
      </c>
      <c r="C99" s="166">
        <f t="shared" si="36"/>
        <v>45904</v>
      </c>
      <c r="D99" s="166">
        <f t="shared" si="36"/>
        <v>45924</v>
      </c>
      <c r="E99" s="1" t="s">
        <v>8</v>
      </c>
      <c r="F99" s="88">
        <v>9</v>
      </c>
      <c r="G99" s="152">
        <v>145</v>
      </c>
      <c r="H99" s="153">
        <f t="shared" si="27"/>
        <v>1862.5628195437541</v>
      </c>
      <c r="I99" s="153">
        <f t="shared" si="22"/>
        <v>1662.2202268543867</v>
      </c>
      <c r="J99" s="104">
        <f t="shared" si="2"/>
        <v>241021.93289388609</v>
      </c>
      <c r="K99" s="154">
        <f t="shared" si="34"/>
        <v>270071.60883384437</v>
      </c>
      <c r="L99" s="155">
        <f t="shared" si="35"/>
        <v>-29049.675939958281</v>
      </c>
      <c r="M99" s="104">
        <f t="shared" si="28"/>
        <v>-2079.9993718396349</v>
      </c>
      <c r="N99" s="156">
        <f t="shared" si="29"/>
        <v>-31129.675311797917</v>
      </c>
      <c r="O99" s="104">
        <f t="shared" si="30"/>
        <v>0</v>
      </c>
      <c r="P99" s="104">
        <f t="shared" si="31"/>
        <v>0</v>
      </c>
      <c r="Q99" s="104">
        <v>0</v>
      </c>
      <c r="R99" s="156">
        <f t="shared" si="32"/>
        <v>-31129.675311797917</v>
      </c>
    </row>
    <row r="100" spans="1:18" x14ac:dyDescent="0.2">
      <c r="A100" s="88">
        <v>9</v>
      </c>
      <c r="B100" s="150">
        <f t="shared" si="4"/>
        <v>45901</v>
      </c>
      <c r="C100" s="166">
        <f t="shared" si="36"/>
        <v>45933</v>
      </c>
      <c r="D100" s="166">
        <f t="shared" si="36"/>
        <v>45954</v>
      </c>
      <c r="E100" s="1" t="s">
        <v>8</v>
      </c>
      <c r="F100" s="88">
        <v>9</v>
      </c>
      <c r="G100" s="152">
        <v>126</v>
      </c>
      <c r="H100" s="153">
        <f t="shared" si="27"/>
        <v>1862.5628195437541</v>
      </c>
      <c r="I100" s="153">
        <f t="shared" si="22"/>
        <v>1662.2202268543867</v>
      </c>
      <c r="J100" s="104">
        <f t="shared" si="2"/>
        <v>209439.74858365272</v>
      </c>
      <c r="K100" s="154">
        <f t="shared" si="34"/>
        <v>234682.91526251301</v>
      </c>
      <c r="L100" s="155">
        <f t="shared" si="35"/>
        <v>-25243.166678860289</v>
      </c>
      <c r="M100" s="104">
        <f t="shared" si="28"/>
        <v>-1807.4477300123726</v>
      </c>
      <c r="N100" s="156">
        <f t="shared" si="29"/>
        <v>-27050.614408872661</v>
      </c>
      <c r="O100" s="104">
        <f t="shared" si="30"/>
        <v>0</v>
      </c>
      <c r="P100" s="104">
        <f t="shared" si="31"/>
        <v>0</v>
      </c>
      <c r="Q100" s="104">
        <v>0</v>
      </c>
      <c r="R100" s="156">
        <f t="shared" si="32"/>
        <v>-27050.614408872661</v>
      </c>
    </row>
    <row r="101" spans="1:18" x14ac:dyDescent="0.2">
      <c r="A101" s="88">
        <v>10</v>
      </c>
      <c r="B101" s="150">
        <f t="shared" si="4"/>
        <v>45931</v>
      </c>
      <c r="C101" s="166">
        <f t="shared" si="36"/>
        <v>45966</v>
      </c>
      <c r="D101" s="166">
        <f t="shared" si="36"/>
        <v>45985</v>
      </c>
      <c r="E101" s="1" t="s">
        <v>8</v>
      </c>
      <c r="F101" s="88">
        <v>9</v>
      </c>
      <c r="G101" s="152">
        <v>106</v>
      </c>
      <c r="H101" s="153">
        <f t="shared" si="27"/>
        <v>1862.5628195437541</v>
      </c>
      <c r="I101" s="153">
        <f t="shared" si="22"/>
        <v>1662.2202268543867</v>
      </c>
      <c r="J101" s="104">
        <f t="shared" si="2"/>
        <v>176195.34404656501</v>
      </c>
      <c r="K101" s="154">
        <f t="shared" si="34"/>
        <v>197431.65887163795</v>
      </c>
      <c r="L101" s="155">
        <f t="shared" si="35"/>
        <v>-21236.314825072943</v>
      </c>
      <c r="M101" s="104">
        <f t="shared" si="28"/>
        <v>-1520.5512649310435</v>
      </c>
      <c r="N101" s="156">
        <f t="shared" si="29"/>
        <v>-22756.866090003987</v>
      </c>
      <c r="O101" s="104">
        <f t="shared" si="30"/>
        <v>0</v>
      </c>
      <c r="P101" s="104">
        <f t="shared" si="31"/>
        <v>0</v>
      </c>
      <c r="Q101" s="104">
        <v>0</v>
      </c>
      <c r="R101" s="156">
        <f t="shared" si="32"/>
        <v>-22756.866090003987</v>
      </c>
    </row>
    <row r="102" spans="1:18" x14ac:dyDescent="0.2">
      <c r="A102" s="88">
        <v>11</v>
      </c>
      <c r="B102" s="150">
        <f t="shared" si="4"/>
        <v>45962</v>
      </c>
      <c r="C102" s="166">
        <f t="shared" si="36"/>
        <v>45994</v>
      </c>
      <c r="D102" s="166">
        <f t="shared" si="36"/>
        <v>46015</v>
      </c>
      <c r="E102" s="1" t="s">
        <v>8</v>
      </c>
      <c r="F102" s="88">
        <v>9</v>
      </c>
      <c r="G102" s="152">
        <v>67</v>
      </c>
      <c r="H102" s="153">
        <f t="shared" si="27"/>
        <v>1862.5628195437541</v>
      </c>
      <c r="I102" s="153">
        <f t="shared" si="22"/>
        <v>1662.2202268543867</v>
      </c>
      <c r="J102" s="104">
        <f t="shared" si="2"/>
        <v>111368.75519924391</v>
      </c>
      <c r="K102" s="154">
        <f t="shared" si="34"/>
        <v>124791.70890943153</v>
      </c>
      <c r="L102" s="155">
        <f t="shared" si="35"/>
        <v>-13422.953710187619</v>
      </c>
      <c r="M102" s="104">
        <f t="shared" si="28"/>
        <v>-961.10315802245213</v>
      </c>
      <c r="N102" s="156">
        <f t="shared" si="29"/>
        <v>-14384.056868210071</v>
      </c>
      <c r="O102" s="104">
        <f t="shared" si="30"/>
        <v>0</v>
      </c>
      <c r="P102" s="104">
        <f t="shared" si="31"/>
        <v>0</v>
      </c>
      <c r="Q102" s="104">
        <v>0</v>
      </c>
      <c r="R102" s="156">
        <f t="shared" si="32"/>
        <v>-14384.056868210071</v>
      </c>
    </row>
    <row r="103" spans="1:18" s="170" customFormat="1" x14ac:dyDescent="0.2">
      <c r="A103" s="88">
        <v>12</v>
      </c>
      <c r="B103" s="168">
        <f t="shared" si="4"/>
        <v>45992</v>
      </c>
      <c r="C103" s="166">
        <f t="shared" si="36"/>
        <v>46028</v>
      </c>
      <c r="D103" s="166">
        <f t="shared" si="36"/>
        <v>46048</v>
      </c>
      <c r="E103" s="169" t="s">
        <v>8</v>
      </c>
      <c r="F103" s="127">
        <v>9</v>
      </c>
      <c r="G103" s="212">
        <v>82</v>
      </c>
      <c r="H103" s="158">
        <f t="shared" si="27"/>
        <v>1862.5628195437541</v>
      </c>
      <c r="I103" s="158">
        <f t="shared" si="22"/>
        <v>1662.2202268543867</v>
      </c>
      <c r="J103" s="159">
        <f t="shared" si="2"/>
        <v>136302.05860205973</v>
      </c>
      <c r="K103" s="160">
        <f t="shared" si="34"/>
        <v>152730.15120258785</v>
      </c>
      <c r="L103" s="161">
        <f t="shared" si="35"/>
        <v>-16428.092600528122</v>
      </c>
      <c r="M103" s="159">
        <f t="shared" si="28"/>
        <v>-1176.2755068334488</v>
      </c>
      <c r="N103" s="213">
        <f t="shared" si="29"/>
        <v>-17604.36810736157</v>
      </c>
      <c r="O103" s="159">
        <f t="shared" si="30"/>
        <v>0</v>
      </c>
      <c r="P103" s="159">
        <f t="shared" si="31"/>
        <v>0</v>
      </c>
      <c r="Q103" s="159">
        <v>0</v>
      </c>
      <c r="R103" s="213">
        <f t="shared" si="32"/>
        <v>-17604.36810736157</v>
      </c>
    </row>
    <row r="104" spans="1:18" x14ac:dyDescent="0.2">
      <c r="A104" s="88">
        <v>1</v>
      </c>
      <c r="B104" s="150">
        <f t="shared" si="4"/>
        <v>45658</v>
      </c>
      <c r="C104" s="163">
        <f t="shared" si="36"/>
        <v>45693</v>
      </c>
      <c r="D104" s="163">
        <f t="shared" si="36"/>
        <v>45712</v>
      </c>
      <c r="E104" s="151" t="s">
        <v>19</v>
      </c>
      <c r="F104" s="88">
        <v>9</v>
      </c>
      <c r="G104" s="152">
        <v>70</v>
      </c>
      <c r="H104" s="153">
        <f t="shared" si="27"/>
        <v>1862.5628195437541</v>
      </c>
      <c r="I104" s="153">
        <f t="shared" si="22"/>
        <v>1662.2202268543867</v>
      </c>
      <c r="J104" s="104">
        <f t="shared" si="2"/>
        <v>116355.41587980707</v>
      </c>
      <c r="K104" s="154">
        <f t="shared" si="34"/>
        <v>130379.39736806278</v>
      </c>
      <c r="L104" s="155">
        <f t="shared" si="35"/>
        <v>-14023.981488255711</v>
      </c>
      <c r="M104" s="104">
        <f t="shared" si="28"/>
        <v>-1004.1376277846514</v>
      </c>
      <c r="N104" s="156">
        <f t="shared" si="29"/>
        <v>-15028.119116040363</v>
      </c>
      <c r="O104" s="104">
        <f t="shared" si="30"/>
        <v>0</v>
      </c>
      <c r="P104" s="104">
        <f t="shared" si="31"/>
        <v>0</v>
      </c>
      <c r="Q104" s="104">
        <v>0</v>
      </c>
      <c r="R104" s="156">
        <f t="shared" si="32"/>
        <v>-15028.119116040363</v>
      </c>
    </row>
    <row r="105" spans="1:18" x14ac:dyDescent="0.2">
      <c r="A105" s="88">
        <v>2</v>
      </c>
      <c r="B105" s="150">
        <f t="shared" si="4"/>
        <v>45689</v>
      </c>
      <c r="C105" s="166">
        <f t="shared" si="36"/>
        <v>45721</v>
      </c>
      <c r="D105" s="166">
        <f t="shared" si="36"/>
        <v>45740</v>
      </c>
      <c r="E105" s="157" t="s">
        <v>19</v>
      </c>
      <c r="F105" s="88">
        <v>9</v>
      </c>
      <c r="G105" s="152">
        <v>50</v>
      </c>
      <c r="H105" s="153">
        <f t="shared" si="27"/>
        <v>1862.5628195437541</v>
      </c>
      <c r="I105" s="153">
        <f t="shared" si="22"/>
        <v>1662.2202268543867</v>
      </c>
      <c r="J105" s="104">
        <f t="shared" si="2"/>
        <v>83111.011342719343</v>
      </c>
      <c r="K105" s="154">
        <f t="shared" si="34"/>
        <v>93128.140977187708</v>
      </c>
      <c r="L105" s="155">
        <f t="shared" si="35"/>
        <v>-10017.129634468365</v>
      </c>
      <c r="M105" s="104">
        <f t="shared" si="28"/>
        <v>-717.2411627033224</v>
      </c>
      <c r="N105" s="156">
        <f t="shared" si="29"/>
        <v>-10734.370797171687</v>
      </c>
      <c r="O105" s="104">
        <f t="shared" si="30"/>
        <v>0</v>
      </c>
      <c r="P105" s="104">
        <f t="shared" si="31"/>
        <v>0</v>
      </c>
      <c r="Q105" s="104">
        <v>0</v>
      </c>
      <c r="R105" s="156">
        <f t="shared" si="32"/>
        <v>-10734.370797171687</v>
      </c>
    </row>
    <row r="106" spans="1:18" x14ac:dyDescent="0.2">
      <c r="A106" s="88">
        <v>3</v>
      </c>
      <c r="B106" s="150">
        <f t="shared" si="4"/>
        <v>45717</v>
      </c>
      <c r="C106" s="166">
        <f t="shared" si="36"/>
        <v>45750</v>
      </c>
      <c r="D106" s="166">
        <f t="shared" si="36"/>
        <v>45771</v>
      </c>
      <c r="E106" s="157" t="s">
        <v>19</v>
      </c>
      <c r="F106" s="88">
        <v>9</v>
      </c>
      <c r="G106" s="152">
        <v>67</v>
      </c>
      <c r="H106" s="153">
        <f t="shared" si="27"/>
        <v>1862.5628195437541</v>
      </c>
      <c r="I106" s="153">
        <f t="shared" si="22"/>
        <v>1662.2202268543867</v>
      </c>
      <c r="J106" s="104">
        <f t="shared" si="2"/>
        <v>111368.75519924391</v>
      </c>
      <c r="K106" s="154">
        <f t="shared" si="34"/>
        <v>124791.70890943153</v>
      </c>
      <c r="L106" s="155">
        <f>+J106-K106</f>
        <v>-13422.953710187619</v>
      </c>
      <c r="M106" s="104">
        <f t="shared" si="28"/>
        <v>-961.10315802245213</v>
      </c>
      <c r="N106" s="156">
        <f t="shared" si="29"/>
        <v>-14384.056868210071</v>
      </c>
      <c r="O106" s="104">
        <f t="shared" si="30"/>
        <v>0</v>
      </c>
      <c r="P106" s="104">
        <f t="shared" si="31"/>
        <v>0</v>
      </c>
      <c r="Q106" s="104">
        <v>0</v>
      </c>
      <c r="R106" s="156">
        <f t="shared" si="32"/>
        <v>-14384.056868210071</v>
      </c>
    </row>
    <row r="107" spans="1:18" x14ac:dyDescent="0.2">
      <c r="A107" s="88">
        <v>4</v>
      </c>
      <c r="B107" s="150">
        <f t="shared" si="4"/>
        <v>45748</v>
      </c>
      <c r="C107" s="166">
        <f t="shared" si="36"/>
        <v>45782</v>
      </c>
      <c r="D107" s="166">
        <f t="shared" si="36"/>
        <v>45803</v>
      </c>
      <c r="E107" s="1" t="s">
        <v>19</v>
      </c>
      <c r="F107" s="88">
        <v>9</v>
      </c>
      <c r="G107" s="152">
        <v>71</v>
      </c>
      <c r="H107" s="153">
        <f t="shared" si="27"/>
        <v>1862.5628195437541</v>
      </c>
      <c r="I107" s="153">
        <f t="shared" si="22"/>
        <v>1662.2202268543867</v>
      </c>
      <c r="J107" s="104">
        <f t="shared" si="2"/>
        <v>118017.63610666146</v>
      </c>
      <c r="K107" s="154">
        <f t="shared" si="34"/>
        <v>132241.96018760654</v>
      </c>
      <c r="L107" s="155">
        <f t="shared" ref="L107:L115" si="37">+J107-K107</f>
        <v>-14224.32408094508</v>
      </c>
      <c r="M107" s="104">
        <f t="shared" si="28"/>
        <v>-1018.4824510387178</v>
      </c>
      <c r="N107" s="156">
        <f t="shared" si="29"/>
        <v>-15242.806531983797</v>
      </c>
      <c r="O107" s="104">
        <f t="shared" si="30"/>
        <v>0</v>
      </c>
      <c r="P107" s="104">
        <f t="shared" si="31"/>
        <v>0</v>
      </c>
      <c r="Q107" s="104">
        <v>0</v>
      </c>
      <c r="R107" s="156">
        <f t="shared" si="32"/>
        <v>-15242.806531983797</v>
      </c>
    </row>
    <row r="108" spans="1:18" x14ac:dyDescent="0.2">
      <c r="A108" s="88">
        <v>5</v>
      </c>
      <c r="B108" s="150">
        <f t="shared" si="4"/>
        <v>45778</v>
      </c>
      <c r="C108" s="166">
        <f t="shared" si="36"/>
        <v>45812</v>
      </c>
      <c r="D108" s="166">
        <f t="shared" si="36"/>
        <v>45832</v>
      </c>
      <c r="E108" s="1" t="s">
        <v>19</v>
      </c>
      <c r="F108" s="88">
        <v>9</v>
      </c>
      <c r="G108" s="152">
        <v>64</v>
      </c>
      <c r="H108" s="153">
        <f t="shared" si="27"/>
        <v>1862.5628195437541</v>
      </c>
      <c r="I108" s="153">
        <f t="shared" ref="I108:I127" si="38">$J$3</f>
        <v>1662.2202268543867</v>
      </c>
      <c r="J108" s="104">
        <f t="shared" si="2"/>
        <v>106382.09451868075</v>
      </c>
      <c r="K108" s="154">
        <f t="shared" si="34"/>
        <v>119204.02045080026</v>
      </c>
      <c r="L108" s="155">
        <f t="shared" si="37"/>
        <v>-12821.925932119513</v>
      </c>
      <c r="M108" s="104">
        <f t="shared" si="28"/>
        <v>-918.06868826025266</v>
      </c>
      <c r="N108" s="156">
        <f t="shared" si="29"/>
        <v>-13739.994620379766</v>
      </c>
      <c r="O108" s="104">
        <f t="shared" si="30"/>
        <v>0</v>
      </c>
      <c r="P108" s="104">
        <f t="shared" si="31"/>
        <v>0</v>
      </c>
      <c r="Q108" s="104">
        <v>0</v>
      </c>
      <c r="R108" s="156">
        <f t="shared" si="32"/>
        <v>-13739.994620379766</v>
      </c>
    </row>
    <row r="109" spans="1:18" x14ac:dyDescent="0.2">
      <c r="A109" s="88">
        <v>6</v>
      </c>
      <c r="B109" s="150">
        <f t="shared" ref="B109:B148" si="39">DATE($R$1,A109,1)</f>
        <v>45809</v>
      </c>
      <c r="C109" s="166">
        <f t="shared" si="36"/>
        <v>45841</v>
      </c>
      <c r="D109" s="166">
        <f t="shared" si="36"/>
        <v>45862</v>
      </c>
      <c r="E109" s="1" t="s">
        <v>19</v>
      </c>
      <c r="F109" s="88">
        <v>9</v>
      </c>
      <c r="G109" s="152">
        <v>72</v>
      </c>
      <c r="H109" s="153">
        <f t="shared" si="27"/>
        <v>1862.5628195437541</v>
      </c>
      <c r="I109" s="153">
        <f t="shared" si="38"/>
        <v>1662.2202268543867</v>
      </c>
      <c r="J109" s="104">
        <f t="shared" ref="J109:J148" si="40">+$G109*I109</f>
        <v>119679.85633351584</v>
      </c>
      <c r="K109" s="154">
        <f t="shared" si="34"/>
        <v>134104.5230071503</v>
      </c>
      <c r="L109" s="155">
        <f t="shared" si="37"/>
        <v>-14424.666673634463</v>
      </c>
      <c r="M109" s="104">
        <f t="shared" si="28"/>
        <v>-1032.8272742927843</v>
      </c>
      <c r="N109" s="156">
        <f t="shared" si="29"/>
        <v>-15457.493947927247</v>
      </c>
      <c r="O109" s="104">
        <f t="shared" si="30"/>
        <v>0</v>
      </c>
      <c r="P109" s="104">
        <f t="shared" si="31"/>
        <v>0</v>
      </c>
      <c r="Q109" s="104">
        <v>0</v>
      </c>
      <c r="R109" s="156">
        <f t="shared" si="32"/>
        <v>-15457.493947927247</v>
      </c>
    </row>
    <row r="110" spans="1:18" x14ac:dyDescent="0.2">
      <c r="A110" s="88">
        <v>7</v>
      </c>
      <c r="B110" s="150">
        <f t="shared" si="39"/>
        <v>45839</v>
      </c>
      <c r="C110" s="166">
        <f t="shared" si="36"/>
        <v>45874</v>
      </c>
      <c r="D110" s="166">
        <f t="shared" si="36"/>
        <v>45894</v>
      </c>
      <c r="E110" s="1" t="s">
        <v>19</v>
      </c>
      <c r="F110" s="88">
        <v>9</v>
      </c>
      <c r="G110" s="152">
        <v>11</v>
      </c>
      <c r="H110" s="153">
        <f t="shared" si="27"/>
        <v>1862.5628195437541</v>
      </c>
      <c r="I110" s="153">
        <f t="shared" si="38"/>
        <v>1662.2202268543867</v>
      </c>
      <c r="J110" s="104">
        <f t="shared" si="40"/>
        <v>18284.422495398256</v>
      </c>
      <c r="K110" s="154">
        <f t="shared" si="34"/>
        <v>20488.191014981294</v>
      </c>
      <c r="L110" s="155">
        <f t="shared" si="37"/>
        <v>-2203.7685195830381</v>
      </c>
      <c r="M110" s="104">
        <f t="shared" si="28"/>
        <v>-157.79305579473095</v>
      </c>
      <c r="N110" s="156">
        <f t="shared" si="29"/>
        <v>-2361.5615753777693</v>
      </c>
      <c r="O110" s="104">
        <f t="shared" si="30"/>
        <v>0</v>
      </c>
      <c r="P110" s="104">
        <f t="shared" si="31"/>
        <v>0</v>
      </c>
      <c r="Q110" s="104">
        <v>0</v>
      </c>
      <c r="R110" s="156">
        <f t="shared" si="32"/>
        <v>-2361.5615753777693</v>
      </c>
    </row>
    <row r="111" spans="1:18" x14ac:dyDescent="0.2">
      <c r="A111" s="88">
        <v>8</v>
      </c>
      <c r="B111" s="150">
        <f t="shared" si="39"/>
        <v>45870</v>
      </c>
      <c r="C111" s="166">
        <f t="shared" si="36"/>
        <v>45904</v>
      </c>
      <c r="D111" s="166">
        <f t="shared" si="36"/>
        <v>45924</v>
      </c>
      <c r="E111" s="1" t="s">
        <v>19</v>
      </c>
      <c r="F111" s="88">
        <v>9</v>
      </c>
      <c r="G111" s="152">
        <v>62</v>
      </c>
      <c r="H111" s="153">
        <f t="shared" si="27"/>
        <v>1862.5628195437541</v>
      </c>
      <c r="I111" s="153">
        <f t="shared" si="38"/>
        <v>1662.2202268543867</v>
      </c>
      <c r="J111" s="104">
        <f t="shared" si="40"/>
        <v>103057.65406497198</v>
      </c>
      <c r="K111" s="154">
        <f t="shared" si="34"/>
        <v>115478.89481171276</v>
      </c>
      <c r="L111" s="155">
        <f t="shared" si="37"/>
        <v>-12421.240746740776</v>
      </c>
      <c r="M111" s="104">
        <f t="shared" si="28"/>
        <v>-889.37904175211986</v>
      </c>
      <c r="N111" s="156">
        <f t="shared" si="29"/>
        <v>-13310.619788492895</v>
      </c>
      <c r="O111" s="104">
        <f t="shared" si="30"/>
        <v>0</v>
      </c>
      <c r="P111" s="104">
        <f t="shared" si="31"/>
        <v>0</v>
      </c>
      <c r="Q111" s="104">
        <v>0</v>
      </c>
      <c r="R111" s="156">
        <f t="shared" si="32"/>
        <v>-13310.619788492895</v>
      </c>
    </row>
    <row r="112" spans="1:18" x14ac:dyDescent="0.2">
      <c r="A112" s="88">
        <v>9</v>
      </c>
      <c r="B112" s="150">
        <f t="shared" si="39"/>
        <v>45901</v>
      </c>
      <c r="C112" s="166">
        <f t="shared" si="36"/>
        <v>45933</v>
      </c>
      <c r="D112" s="166">
        <f t="shared" si="36"/>
        <v>45954</v>
      </c>
      <c r="E112" s="1" t="s">
        <v>19</v>
      </c>
      <c r="F112" s="88">
        <v>9</v>
      </c>
      <c r="G112" s="152">
        <v>72</v>
      </c>
      <c r="H112" s="153">
        <f t="shared" si="27"/>
        <v>1862.5628195437541</v>
      </c>
      <c r="I112" s="153">
        <f t="shared" si="38"/>
        <v>1662.2202268543867</v>
      </c>
      <c r="J112" s="104">
        <f t="shared" si="40"/>
        <v>119679.85633351584</v>
      </c>
      <c r="K112" s="154">
        <f t="shared" si="34"/>
        <v>134104.5230071503</v>
      </c>
      <c r="L112" s="155">
        <f t="shared" si="37"/>
        <v>-14424.666673634463</v>
      </c>
      <c r="M112" s="104">
        <f t="shared" si="28"/>
        <v>-1032.8272742927843</v>
      </c>
      <c r="N112" s="156">
        <f t="shared" si="29"/>
        <v>-15457.493947927247</v>
      </c>
      <c r="O112" s="104">
        <f t="shared" si="30"/>
        <v>0</v>
      </c>
      <c r="P112" s="104">
        <f t="shared" si="31"/>
        <v>0</v>
      </c>
      <c r="Q112" s="104">
        <v>0</v>
      </c>
      <c r="R112" s="156">
        <f t="shared" si="32"/>
        <v>-15457.493947927247</v>
      </c>
    </row>
    <row r="113" spans="1:18" x14ac:dyDescent="0.2">
      <c r="A113" s="88">
        <v>10</v>
      </c>
      <c r="B113" s="150">
        <f t="shared" si="39"/>
        <v>45931</v>
      </c>
      <c r="C113" s="166">
        <f t="shared" si="36"/>
        <v>45966</v>
      </c>
      <c r="D113" s="166">
        <f t="shared" si="36"/>
        <v>45985</v>
      </c>
      <c r="E113" s="1" t="s">
        <v>19</v>
      </c>
      <c r="F113" s="88">
        <v>9</v>
      </c>
      <c r="G113" s="152">
        <v>72</v>
      </c>
      <c r="H113" s="153">
        <f t="shared" si="27"/>
        <v>1862.5628195437541</v>
      </c>
      <c r="I113" s="153">
        <f t="shared" si="38"/>
        <v>1662.2202268543867</v>
      </c>
      <c r="J113" s="104">
        <f t="shared" si="40"/>
        <v>119679.85633351584</v>
      </c>
      <c r="K113" s="154">
        <f t="shared" si="34"/>
        <v>134104.5230071503</v>
      </c>
      <c r="L113" s="155">
        <f t="shared" si="37"/>
        <v>-14424.666673634463</v>
      </c>
      <c r="M113" s="104">
        <f t="shared" si="28"/>
        <v>-1032.8272742927843</v>
      </c>
      <c r="N113" s="156">
        <f t="shared" si="29"/>
        <v>-15457.493947927247</v>
      </c>
      <c r="O113" s="104">
        <f t="shared" si="30"/>
        <v>0</v>
      </c>
      <c r="P113" s="104">
        <f t="shared" si="31"/>
        <v>0</v>
      </c>
      <c r="Q113" s="104">
        <v>0</v>
      </c>
      <c r="R113" s="156">
        <f t="shared" si="32"/>
        <v>-15457.493947927247</v>
      </c>
    </row>
    <row r="114" spans="1:18" x14ac:dyDescent="0.2">
      <c r="A114" s="88">
        <v>11</v>
      </c>
      <c r="B114" s="150">
        <f t="shared" si="39"/>
        <v>45962</v>
      </c>
      <c r="C114" s="166">
        <f t="shared" si="36"/>
        <v>45994</v>
      </c>
      <c r="D114" s="166">
        <f t="shared" si="36"/>
        <v>46015</v>
      </c>
      <c r="E114" s="1" t="s">
        <v>19</v>
      </c>
      <c r="F114" s="88">
        <v>9</v>
      </c>
      <c r="G114" s="152">
        <v>67</v>
      </c>
      <c r="H114" s="153">
        <f t="shared" si="27"/>
        <v>1862.5628195437541</v>
      </c>
      <c r="I114" s="153">
        <f t="shared" si="38"/>
        <v>1662.2202268543867</v>
      </c>
      <c r="J114" s="104">
        <f t="shared" si="40"/>
        <v>111368.75519924391</v>
      </c>
      <c r="K114" s="154">
        <f t="shared" si="34"/>
        <v>124791.70890943153</v>
      </c>
      <c r="L114" s="155">
        <f t="shared" si="37"/>
        <v>-13422.953710187619</v>
      </c>
      <c r="M114" s="104">
        <f t="shared" si="28"/>
        <v>-961.10315802245213</v>
      </c>
      <c r="N114" s="156">
        <f t="shared" si="29"/>
        <v>-14384.056868210071</v>
      </c>
      <c r="O114" s="104">
        <f t="shared" si="30"/>
        <v>0</v>
      </c>
      <c r="P114" s="104">
        <f t="shared" si="31"/>
        <v>0</v>
      </c>
      <c r="Q114" s="104">
        <v>0</v>
      </c>
      <c r="R114" s="156">
        <f t="shared" si="32"/>
        <v>-14384.056868210071</v>
      </c>
    </row>
    <row r="115" spans="1:18" s="170" customFormat="1" x14ac:dyDescent="0.2">
      <c r="A115" s="88">
        <v>12</v>
      </c>
      <c r="B115" s="168">
        <f t="shared" si="39"/>
        <v>45992</v>
      </c>
      <c r="C115" s="171">
        <f t="shared" si="36"/>
        <v>46028</v>
      </c>
      <c r="D115" s="171">
        <f t="shared" si="36"/>
        <v>46048</v>
      </c>
      <c r="E115" s="169" t="s">
        <v>19</v>
      </c>
      <c r="F115" s="127">
        <v>9</v>
      </c>
      <c r="G115" s="212">
        <v>68</v>
      </c>
      <c r="H115" s="158">
        <f t="shared" si="27"/>
        <v>1862.5628195437541</v>
      </c>
      <c r="I115" s="158">
        <f t="shared" si="38"/>
        <v>1662.2202268543867</v>
      </c>
      <c r="J115" s="159">
        <f t="shared" si="40"/>
        <v>113030.9754260983</v>
      </c>
      <c r="K115" s="160">
        <f t="shared" si="34"/>
        <v>126654.27172897528</v>
      </c>
      <c r="L115" s="161">
        <f t="shared" si="37"/>
        <v>-13623.296302876974</v>
      </c>
      <c r="M115" s="159">
        <f t="shared" si="28"/>
        <v>-975.44798127651848</v>
      </c>
      <c r="N115" s="213">
        <f t="shared" si="29"/>
        <v>-14598.744284153492</v>
      </c>
      <c r="O115" s="159">
        <f t="shared" si="30"/>
        <v>0</v>
      </c>
      <c r="P115" s="159">
        <f t="shared" si="31"/>
        <v>0</v>
      </c>
      <c r="Q115" s="159">
        <v>0</v>
      </c>
      <c r="R115" s="213">
        <f t="shared" si="32"/>
        <v>-14598.744284153492</v>
      </c>
    </row>
    <row r="116" spans="1:18" x14ac:dyDescent="0.2">
      <c r="A116" s="88">
        <v>1</v>
      </c>
      <c r="B116" s="150">
        <f t="shared" si="39"/>
        <v>45658</v>
      </c>
      <c r="C116" s="166">
        <f t="shared" si="36"/>
        <v>45693</v>
      </c>
      <c r="D116" s="166">
        <f t="shared" si="36"/>
        <v>45712</v>
      </c>
      <c r="E116" s="151" t="s">
        <v>13</v>
      </c>
      <c r="F116" s="88">
        <v>9</v>
      </c>
      <c r="G116" s="152">
        <v>1315</v>
      </c>
      <c r="H116" s="153">
        <f t="shared" si="27"/>
        <v>1862.5628195437541</v>
      </c>
      <c r="I116" s="153">
        <f t="shared" si="38"/>
        <v>1662.2202268543867</v>
      </c>
      <c r="J116" s="104">
        <f t="shared" si="40"/>
        <v>2185819.5983135183</v>
      </c>
      <c r="K116" s="154">
        <f t="shared" si="34"/>
        <v>2449270.1077000368</v>
      </c>
      <c r="L116" s="155">
        <f>+J116-K116</f>
        <v>-263450.5093865185</v>
      </c>
      <c r="M116" s="104">
        <f t="shared" si="28"/>
        <v>-18863.44257909738</v>
      </c>
      <c r="N116" s="156">
        <f t="shared" si="29"/>
        <v>-282313.95196561591</v>
      </c>
      <c r="O116" s="104">
        <f t="shared" si="30"/>
        <v>0</v>
      </c>
      <c r="P116" s="104">
        <f t="shared" si="31"/>
        <v>0</v>
      </c>
      <c r="Q116" s="104">
        <v>0</v>
      </c>
      <c r="R116" s="156">
        <f t="shared" si="32"/>
        <v>-282313.95196561591</v>
      </c>
    </row>
    <row r="117" spans="1:18" x14ac:dyDescent="0.2">
      <c r="A117" s="88">
        <v>2</v>
      </c>
      <c r="B117" s="150">
        <f t="shared" si="39"/>
        <v>45689</v>
      </c>
      <c r="C117" s="166">
        <f t="shared" ref="C117:D139" si="41">+C105</f>
        <v>45721</v>
      </c>
      <c r="D117" s="166">
        <f t="shared" si="41"/>
        <v>45740</v>
      </c>
      <c r="E117" s="157" t="s">
        <v>13</v>
      </c>
      <c r="F117" s="88">
        <v>9</v>
      </c>
      <c r="G117" s="152">
        <v>1377</v>
      </c>
      <c r="H117" s="153">
        <f t="shared" si="27"/>
        <v>1862.5628195437541</v>
      </c>
      <c r="I117" s="153">
        <f t="shared" si="38"/>
        <v>1662.2202268543867</v>
      </c>
      <c r="J117" s="104">
        <f t="shared" si="40"/>
        <v>2288877.2523784908</v>
      </c>
      <c r="K117" s="154">
        <f t="shared" si="34"/>
        <v>2564749.0025117495</v>
      </c>
      <c r="L117" s="155">
        <f>+J117-K117</f>
        <v>-275871.75013325876</v>
      </c>
      <c r="M117" s="104">
        <f t="shared" si="28"/>
        <v>-19752.8216208495</v>
      </c>
      <c r="N117" s="156">
        <f t="shared" si="29"/>
        <v>-295624.57175410824</v>
      </c>
      <c r="O117" s="104">
        <f t="shared" si="30"/>
        <v>0</v>
      </c>
      <c r="P117" s="104">
        <f t="shared" si="31"/>
        <v>0</v>
      </c>
      <c r="Q117" s="104">
        <v>0</v>
      </c>
      <c r="R117" s="156">
        <f t="shared" si="32"/>
        <v>-295624.57175410824</v>
      </c>
    </row>
    <row r="118" spans="1:18" x14ac:dyDescent="0.2">
      <c r="A118" s="88">
        <v>3</v>
      </c>
      <c r="B118" s="150">
        <f t="shared" si="39"/>
        <v>45717</v>
      </c>
      <c r="C118" s="166">
        <f t="shared" si="41"/>
        <v>45750</v>
      </c>
      <c r="D118" s="166">
        <f t="shared" si="41"/>
        <v>45771</v>
      </c>
      <c r="E118" s="157" t="s">
        <v>13</v>
      </c>
      <c r="F118" s="88">
        <v>9</v>
      </c>
      <c r="G118" s="152">
        <v>791</v>
      </c>
      <c r="H118" s="153">
        <f t="shared" si="27"/>
        <v>1862.5628195437541</v>
      </c>
      <c r="I118" s="153">
        <f t="shared" si="38"/>
        <v>1662.2202268543867</v>
      </c>
      <c r="J118" s="104">
        <f t="shared" si="40"/>
        <v>1314816.1994418199</v>
      </c>
      <c r="K118" s="154">
        <f t="shared" si="34"/>
        <v>1473287.1902591095</v>
      </c>
      <c r="L118" s="155">
        <f>+J118-K118</f>
        <v>-158470.99081728957</v>
      </c>
      <c r="M118" s="104">
        <f t="shared" si="28"/>
        <v>-11346.755193966561</v>
      </c>
      <c r="N118" s="156">
        <f t="shared" si="29"/>
        <v>-169817.74601125612</v>
      </c>
      <c r="O118" s="104">
        <f t="shared" si="30"/>
        <v>0</v>
      </c>
      <c r="P118" s="104">
        <f t="shared" si="31"/>
        <v>0</v>
      </c>
      <c r="Q118" s="104">
        <v>0</v>
      </c>
      <c r="R118" s="156">
        <f t="shared" si="32"/>
        <v>-169817.74601125612</v>
      </c>
    </row>
    <row r="119" spans="1:18" x14ac:dyDescent="0.2">
      <c r="A119" s="88">
        <v>4</v>
      </c>
      <c r="B119" s="150">
        <f t="shared" si="39"/>
        <v>45748</v>
      </c>
      <c r="C119" s="166">
        <f t="shared" si="41"/>
        <v>45782</v>
      </c>
      <c r="D119" s="166">
        <f t="shared" si="41"/>
        <v>45803</v>
      </c>
      <c r="E119" s="1" t="s">
        <v>13</v>
      </c>
      <c r="F119" s="88">
        <v>9</v>
      </c>
      <c r="G119" s="152">
        <v>603</v>
      </c>
      <c r="H119" s="153">
        <f t="shared" si="27"/>
        <v>1862.5628195437541</v>
      </c>
      <c r="I119" s="153">
        <f t="shared" si="38"/>
        <v>1662.2202268543867</v>
      </c>
      <c r="J119" s="104">
        <f t="shared" si="40"/>
        <v>1002318.7967931952</v>
      </c>
      <c r="K119" s="154">
        <f t="shared" si="34"/>
        <v>1123125.3801848837</v>
      </c>
      <c r="L119" s="155">
        <f t="shared" ref="L119:L127" si="42">+J119-K119</f>
        <v>-120806.58339168853</v>
      </c>
      <c r="M119" s="104">
        <f t="shared" si="28"/>
        <v>-8649.9284222020688</v>
      </c>
      <c r="N119" s="156">
        <f t="shared" si="29"/>
        <v>-129456.5118138906</v>
      </c>
      <c r="O119" s="104">
        <f t="shared" si="30"/>
        <v>0</v>
      </c>
      <c r="P119" s="104">
        <f t="shared" si="31"/>
        <v>0</v>
      </c>
      <c r="Q119" s="104">
        <v>0</v>
      </c>
      <c r="R119" s="156">
        <f t="shared" si="32"/>
        <v>-129456.5118138906</v>
      </c>
    </row>
    <row r="120" spans="1:18" x14ac:dyDescent="0.2">
      <c r="A120" s="88">
        <v>5</v>
      </c>
      <c r="B120" s="150">
        <f t="shared" si="39"/>
        <v>45778</v>
      </c>
      <c r="C120" s="166">
        <f t="shared" si="41"/>
        <v>45812</v>
      </c>
      <c r="D120" s="166">
        <f t="shared" si="41"/>
        <v>45832</v>
      </c>
      <c r="E120" s="1" t="s">
        <v>13</v>
      </c>
      <c r="F120" s="88">
        <v>9</v>
      </c>
      <c r="G120" s="152">
        <v>738</v>
      </c>
      <c r="H120" s="153">
        <f t="shared" si="27"/>
        <v>1862.5628195437541</v>
      </c>
      <c r="I120" s="153">
        <f t="shared" si="38"/>
        <v>1662.2202268543867</v>
      </c>
      <c r="J120" s="104">
        <f t="shared" si="40"/>
        <v>1226718.5274185373</v>
      </c>
      <c r="K120" s="154">
        <f t="shared" si="34"/>
        <v>1374571.3608232907</v>
      </c>
      <c r="L120" s="155">
        <f t="shared" si="42"/>
        <v>-147852.83340475336</v>
      </c>
      <c r="M120" s="104">
        <f t="shared" si="28"/>
        <v>-10586.479561501039</v>
      </c>
      <c r="N120" s="156">
        <f t="shared" si="29"/>
        <v>-158439.31296625439</v>
      </c>
      <c r="O120" s="104">
        <f t="shared" si="30"/>
        <v>0</v>
      </c>
      <c r="P120" s="104">
        <f t="shared" si="31"/>
        <v>0</v>
      </c>
      <c r="Q120" s="104">
        <v>0</v>
      </c>
      <c r="R120" s="156">
        <f t="shared" si="32"/>
        <v>-158439.31296625439</v>
      </c>
    </row>
    <row r="121" spans="1:18" x14ac:dyDescent="0.2">
      <c r="A121" s="88">
        <v>6</v>
      </c>
      <c r="B121" s="150">
        <f t="shared" si="39"/>
        <v>45809</v>
      </c>
      <c r="C121" s="166">
        <f t="shared" si="41"/>
        <v>45841</v>
      </c>
      <c r="D121" s="166">
        <f t="shared" si="41"/>
        <v>45862</v>
      </c>
      <c r="E121" s="1" t="s">
        <v>13</v>
      </c>
      <c r="F121" s="88">
        <v>9</v>
      </c>
      <c r="G121" s="152">
        <v>849</v>
      </c>
      <c r="H121" s="153">
        <f t="shared" si="27"/>
        <v>1862.5628195437541</v>
      </c>
      <c r="I121" s="153">
        <f t="shared" si="38"/>
        <v>1662.2202268543867</v>
      </c>
      <c r="J121" s="104">
        <f t="shared" si="40"/>
        <v>1411224.9725993744</v>
      </c>
      <c r="K121" s="154">
        <f t="shared" si="34"/>
        <v>1581315.8337926473</v>
      </c>
      <c r="L121" s="155">
        <f t="shared" si="42"/>
        <v>-170090.86119327298</v>
      </c>
      <c r="M121" s="104">
        <f t="shared" si="28"/>
        <v>-12178.754942702413</v>
      </c>
      <c r="N121" s="156">
        <f t="shared" si="29"/>
        <v>-182269.6161359754</v>
      </c>
      <c r="O121" s="104">
        <f t="shared" si="30"/>
        <v>0</v>
      </c>
      <c r="P121" s="104">
        <f t="shared" si="31"/>
        <v>0</v>
      </c>
      <c r="Q121" s="104">
        <v>0</v>
      </c>
      <c r="R121" s="156">
        <f t="shared" si="32"/>
        <v>-182269.6161359754</v>
      </c>
    </row>
    <row r="122" spans="1:18" x14ac:dyDescent="0.2">
      <c r="A122" s="88">
        <v>7</v>
      </c>
      <c r="B122" s="150">
        <f t="shared" si="39"/>
        <v>45839</v>
      </c>
      <c r="C122" s="166">
        <f t="shared" si="41"/>
        <v>45874</v>
      </c>
      <c r="D122" s="166">
        <f t="shared" si="41"/>
        <v>45894</v>
      </c>
      <c r="E122" s="1" t="s">
        <v>13</v>
      </c>
      <c r="F122" s="88">
        <v>9</v>
      </c>
      <c r="G122" s="152">
        <v>978</v>
      </c>
      <c r="H122" s="153">
        <f t="shared" si="27"/>
        <v>1862.5628195437541</v>
      </c>
      <c r="I122" s="153">
        <f t="shared" si="38"/>
        <v>1662.2202268543867</v>
      </c>
      <c r="J122" s="104">
        <f t="shared" si="40"/>
        <v>1625651.3818635903</v>
      </c>
      <c r="K122" s="154">
        <f t="shared" si="34"/>
        <v>1821586.4375137915</v>
      </c>
      <c r="L122" s="155">
        <f t="shared" si="42"/>
        <v>-195935.05565020116</v>
      </c>
      <c r="M122" s="104">
        <f t="shared" si="28"/>
        <v>-14029.237142476986</v>
      </c>
      <c r="N122" s="156">
        <f t="shared" si="29"/>
        <v>-209964.29279267814</v>
      </c>
      <c r="O122" s="104">
        <f t="shared" si="30"/>
        <v>0</v>
      </c>
      <c r="P122" s="104">
        <f t="shared" si="31"/>
        <v>0</v>
      </c>
      <c r="Q122" s="104">
        <v>0</v>
      </c>
      <c r="R122" s="156">
        <f t="shared" si="32"/>
        <v>-209964.29279267814</v>
      </c>
    </row>
    <row r="123" spans="1:18" x14ac:dyDescent="0.2">
      <c r="A123" s="88">
        <v>8</v>
      </c>
      <c r="B123" s="150">
        <f t="shared" si="39"/>
        <v>45870</v>
      </c>
      <c r="C123" s="166">
        <f t="shared" si="41"/>
        <v>45904</v>
      </c>
      <c r="D123" s="166">
        <f t="shared" si="41"/>
        <v>45924</v>
      </c>
      <c r="E123" s="1" t="s">
        <v>13</v>
      </c>
      <c r="F123" s="88">
        <v>9</v>
      </c>
      <c r="G123" s="152">
        <v>1000</v>
      </c>
      <c r="H123" s="153">
        <f t="shared" si="27"/>
        <v>1862.5628195437541</v>
      </c>
      <c r="I123" s="153">
        <f t="shared" si="38"/>
        <v>1662.2202268543867</v>
      </c>
      <c r="J123" s="104">
        <f t="shared" si="40"/>
        <v>1662220.2268543867</v>
      </c>
      <c r="K123" s="154">
        <f t="shared" si="34"/>
        <v>1862562.8195437542</v>
      </c>
      <c r="L123" s="155">
        <f t="shared" si="42"/>
        <v>-200342.59268936748</v>
      </c>
      <c r="M123" s="104">
        <f t="shared" si="28"/>
        <v>-14344.823254066448</v>
      </c>
      <c r="N123" s="156">
        <f t="shared" si="29"/>
        <v>-214687.41594343394</v>
      </c>
      <c r="O123" s="104">
        <f t="shared" si="30"/>
        <v>0</v>
      </c>
      <c r="P123" s="104">
        <f t="shared" si="31"/>
        <v>0</v>
      </c>
      <c r="Q123" s="104">
        <v>0</v>
      </c>
      <c r="R123" s="156">
        <f t="shared" si="32"/>
        <v>-214687.41594343394</v>
      </c>
    </row>
    <row r="124" spans="1:18" x14ac:dyDescent="0.2">
      <c r="A124" s="88">
        <v>9</v>
      </c>
      <c r="B124" s="150">
        <f t="shared" si="39"/>
        <v>45901</v>
      </c>
      <c r="C124" s="166">
        <f t="shared" si="41"/>
        <v>45933</v>
      </c>
      <c r="D124" s="166">
        <f t="shared" si="41"/>
        <v>45954</v>
      </c>
      <c r="E124" s="1" t="s">
        <v>13</v>
      </c>
      <c r="F124" s="88">
        <v>9</v>
      </c>
      <c r="G124" s="152">
        <v>844</v>
      </c>
      <c r="H124" s="153">
        <f t="shared" si="27"/>
        <v>1862.5628195437541</v>
      </c>
      <c r="I124" s="153">
        <f t="shared" si="38"/>
        <v>1662.2202268543867</v>
      </c>
      <c r="J124" s="104">
        <f t="shared" si="40"/>
        <v>1402913.8714651023</v>
      </c>
      <c r="K124" s="154">
        <f t="shared" si="34"/>
        <v>1572003.0196949285</v>
      </c>
      <c r="L124" s="155">
        <f t="shared" si="42"/>
        <v>-169089.14822982624</v>
      </c>
      <c r="M124" s="104">
        <f t="shared" si="28"/>
        <v>-12107.030826432083</v>
      </c>
      <c r="N124" s="156">
        <f t="shared" si="29"/>
        <v>-181196.17905625832</v>
      </c>
      <c r="O124" s="104">
        <f t="shared" si="30"/>
        <v>0</v>
      </c>
      <c r="P124" s="104">
        <f t="shared" si="31"/>
        <v>0</v>
      </c>
      <c r="Q124" s="104">
        <v>0</v>
      </c>
      <c r="R124" s="156">
        <f t="shared" si="32"/>
        <v>-181196.17905625832</v>
      </c>
    </row>
    <row r="125" spans="1:18" x14ac:dyDescent="0.2">
      <c r="A125" s="88">
        <v>10</v>
      </c>
      <c r="B125" s="150">
        <f t="shared" si="39"/>
        <v>45931</v>
      </c>
      <c r="C125" s="166">
        <f t="shared" si="41"/>
        <v>45966</v>
      </c>
      <c r="D125" s="166">
        <f t="shared" si="41"/>
        <v>45985</v>
      </c>
      <c r="E125" s="1" t="s">
        <v>13</v>
      </c>
      <c r="F125" s="88">
        <v>9</v>
      </c>
      <c r="G125" s="152">
        <v>760</v>
      </c>
      <c r="H125" s="153">
        <f t="shared" si="27"/>
        <v>1862.5628195437541</v>
      </c>
      <c r="I125" s="153">
        <f t="shared" si="38"/>
        <v>1662.2202268543867</v>
      </c>
      <c r="J125" s="104">
        <f t="shared" si="40"/>
        <v>1263287.3724093339</v>
      </c>
      <c r="K125" s="154">
        <f t="shared" si="34"/>
        <v>1415547.7428532531</v>
      </c>
      <c r="L125" s="155">
        <f t="shared" si="42"/>
        <v>-152260.37044391921</v>
      </c>
      <c r="M125" s="104">
        <f t="shared" si="28"/>
        <v>-10902.065673090501</v>
      </c>
      <c r="N125" s="156">
        <f t="shared" si="29"/>
        <v>-163162.4361170097</v>
      </c>
      <c r="O125" s="104">
        <f t="shared" si="30"/>
        <v>0</v>
      </c>
      <c r="P125" s="104">
        <f t="shared" si="31"/>
        <v>0</v>
      </c>
      <c r="Q125" s="104">
        <v>0</v>
      </c>
      <c r="R125" s="156">
        <f t="shared" si="32"/>
        <v>-163162.4361170097</v>
      </c>
    </row>
    <row r="126" spans="1:18" x14ac:dyDescent="0.2">
      <c r="A126" s="88">
        <v>11</v>
      </c>
      <c r="B126" s="150">
        <f t="shared" si="39"/>
        <v>45962</v>
      </c>
      <c r="C126" s="166">
        <f t="shared" si="41"/>
        <v>45994</v>
      </c>
      <c r="D126" s="166">
        <f t="shared" si="41"/>
        <v>46015</v>
      </c>
      <c r="E126" s="1" t="s">
        <v>13</v>
      </c>
      <c r="F126" s="88">
        <v>9</v>
      </c>
      <c r="G126" s="152">
        <v>748</v>
      </c>
      <c r="H126" s="153">
        <f t="shared" si="27"/>
        <v>1862.5628195437541</v>
      </c>
      <c r="I126" s="153">
        <f t="shared" si="38"/>
        <v>1662.2202268543867</v>
      </c>
      <c r="J126" s="104">
        <f t="shared" si="40"/>
        <v>1243340.7296870812</v>
      </c>
      <c r="K126" s="154">
        <f t="shared" si="34"/>
        <v>1393196.989018728</v>
      </c>
      <c r="L126" s="155">
        <f t="shared" si="42"/>
        <v>-149856.25933164684</v>
      </c>
      <c r="M126" s="104">
        <f t="shared" si="28"/>
        <v>-10729.927794041703</v>
      </c>
      <c r="N126" s="156">
        <f t="shared" si="29"/>
        <v>-160586.18712568854</v>
      </c>
      <c r="O126" s="104">
        <f t="shared" si="30"/>
        <v>0</v>
      </c>
      <c r="P126" s="104">
        <f t="shared" si="31"/>
        <v>0</v>
      </c>
      <c r="Q126" s="104">
        <v>0</v>
      </c>
      <c r="R126" s="156">
        <f t="shared" si="32"/>
        <v>-160586.18712568854</v>
      </c>
    </row>
    <row r="127" spans="1:18" s="170" customFormat="1" x14ac:dyDescent="0.2">
      <c r="A127" s="88">
        <v>12</v>
      </c>
      <c r="B127" s="168">
        <f t="shared" si="39"/>
        <v>45992</v>
      </c>
      <c r="C127" s="171">
        <f t="shared" si="41"/>
        <v>46028</v>
      </c>
      <c r="D127" s="171">
        <f t="shared" si="41"/>
        <v>46048</v>
      </c>
      <c r="E127" s="169" t="s">
        <v>13</v>
      </c>
      <c r="F127" s="127">
        <v>9</v>
      </c>
      <c r="G127" s="212">
        <v>1070</v>
      </c>
      <c r="H127" s="158">
        <f t="shared" si="27"/>
        <v>1862.5628195437541</v>
      </c>
      <c r="I127" s="158">
        <f t="shared" si="38"/>
        <v>1662.2202268543867</v>
      </c>
      <c r="J127" s="159">
        <f t="shared" si="40"/>
        <v>1778575.6427341937</v>
      </c>
      <c r="K127" s="160">
        <f t="shared" si="34"/>
        <v>1992942.216911817</v>
      </c>
      <c r="L127" s="161">
        <f t="shared" si="42"/>
        <v>-214366.57417762326</v>
      </c>
      <c r="M127" s="159">
        <f t="shared" si="28"/>
        <v>-15348.960881851101</v>
      </c>
      <c r="N127" s="213">
        <f t="shared" si="29"/>
        <v>-229715.53505947435</v>
      </c>
      <c r="O127" s="159">
        <f t="shared" si="30"/>
        <v>0</v>
      </c>
      <c r="P127" s="159">
        <f t="shared" si="31"/>
        <v>0</v>
      </c>
      <c r="Q127" s="159">
        <v>0</v>
      </c>
      <c r="R127" s="213">
        <f t="shared" si="32"/>
        <v>-229715.53505947435</v>
      </c>
    </row>
    <row r="128" spans="1:18" x14ac:dyDescent="0.2">
      <c r="A128" s="88">
        <v>1</v>
      </c>
      <c r="B128" s="150">
        <f t="shared" si="39"/>
        <v>45658</v>
      </c>
      <c r="C128" s="166">
        <f t="shared" si="41"/>
        <v>45693</v>
      </c>
      <c r="D128" s="166">
        <f t="shared" si="41"/>
        <v>45712</v>
      </c>
      <c r="E128" s="151" t="s">
        <v>15</v>
      </c>
      <c r="F128" s="88">
        <v>9</v>
      </c>
      <c r="G128" s="152">
        <v>7</v>
      </c>
      <c r="H128" s="153">
        <f t="shared" si="27"/>
        <v>1862.5628195437541</v>
      </c>
      <c r="I128" s="153">
        <f t="shared" ref="I128:I147" si="43">$J$3</f>
        <v>1662.2202268543867</v>
      </c>
      <c r="J128" s="104">
        <f t="shared" si="40"/>
        <v>11635.541587980708</v>
      </c>
      <c r="K128" s="154">
        <f t="shared" si="34"/>
        <v>13037.939736806278</v>
      </c>
      <c r="L128" s="155">
        <f>+J128-K128</f>
        <v>-1402.3981488255704</v>
      </c>
      <c r="M128" s="104">
        <f t="shared" si="28"/>
        <v>-100.41376277846513</v>
      </c>
      <c r="N128" s="156">
        <f t="shared" si="29"/>
        <v>-1502.8119116040355</v>
      </c>
      <c r="O128" s="104">
        <f t="shared" si="30"/>
        <v>0</v>
      </c>
      <c r="P128" s="104">
        <f t="shared" si="31"/>
        <v>0</v>
      </c>
      <c r="Q128" s="104">
        <v>0</v>
      </c>
      <c r="R128" s="156">
        <f t="shared" si="32"/>
        <v>-1502.8119116040355</v>
      </c>
    </row>
    <row r="129" spans="1:18" x14ac:dyDescent="0.2">
      <c r="A129" s="88">
        <v>2</v>
      </c>
      <c r="B129" s="150">
        <f t="shared" si="39"/>
        <v>45689</v>
      </c>
      <c r="C129" s="166">
        <f t="shared" si="41"/>
        <v>45721</v>
      </c>
      <c r="D129" s="166">
        <f t="shared" si="41"/>
        <v>45740</v>
      </c>
      <c r="E129" s="157" t="s">
        <v>15</v>
      </c>
      <c r="F129" s="88">
        <v>9</v>
      </c>
      <c r="G129" s="152">
        <v>8</v>
      </c>
      <c r="H129" s="153">
        <f t="shared" si="27"/>
        <v>1862.5628195437541</v>
      </c>
      <c r="I129" s="153">
        <f t="shared" si="43"/>
        <v>1662.2202268543867</v>
      </c>
      <c r="J129" s="104">
        <f t="shared" si="40"/>
        <v>13297.761814835094</v>
      </c>
      <c r="K129" s="154">
        <f t="shared" si="34"/>
        <v>14900.502556350033</v>
      </c>
      <c r="L129" s="155">
        <f>+J129-K129</f>
        <v>-1602.7407415149391</v>
      </c>
      <c r="M129" s="104">
        <f t="shared" si="28"/>
        <v>-114.75858603253158</v>
      </c>
      <c r="N129" s="156">
        <f t="shared" si="29"/>
        <v>-1717.4993275474708</v>
      </c>
      <c r="O129" s="104">
        <f t="shared" si="30"/>
        <v>0</v>
      </c>
      <c r="P129" s="104">
        <f t="shared" si="31"/>
        <v>0</v>
      </c>
      <c r="Q129" s="104">
        <v>0</v>
      </c>
      <c r="R129" s="156">
        <f t="shared" si="32"/>
        <v>-1717.4993275474708</v>
      </c>
    </row>
    <row r="130" spans="1:18" x14ac:dyDescent="0.2">
      <c r="A130" s="88">
        <v>3</v>
      </c>
      <c r="B130" s="150">
        <f t="shared" si="39"/>
        <v>45717</v>
      </c>
      <c r="C130" s="166">
        <f t="shared" si="41"/>
        <v>45750</v>
      </c>
      <c r="D130" s="166">
        <f t="shared" si="41"/>
        <v>45771</v>
      </c>
      <c r="E130" s="157" t="s">
        <v>15</v>
      </c>
      <c r="F130" s="88">
        <v>9</v>
      </c>
      <c r="G130" s="152">
        <v>7</v>
      </c>
      <c r="H130" s="153">
        <f t="shared" si="27"/>
        <v>1862.5628195437541</v>
      </c>
      <c r="I130" s="153">
        <f t="shared" si="43"/>
        <v>1662.2202268543867</v>
      </c>
      <c r="J130" s="104">
        <f t="shared" si="40"/>
        <v>11635.541587980708</v>
      </c>
      <c r="K130" s="154">
        <f t="shared" si="34"/>
        <v>13037.939736806278</v>
      </c>
      <c r="L130" s="155">
        <f>+J130-K130</f>
        <v>-1402.3981488255704</v>
      </c>
      <c r="M130" s="104">
        <f t="shared" si="28"/>
        <v>-100.41376277846513</v>
      </c>
      <c r="N130" s="156">
        <f t="shared" si="29"/>
        <v>-1502.8119116040355</v>
      </c>
      <c r="O130" s="104">
        <f t="shared" si="30"/>
        <v>0</v>
      </c>
      <c r="P130" s="104">
        <f t="shared" si="31"/>
        <v>0</v>
      </c>
      <c r="Q130" s="104">
        <v>0</v>
      </c>
      <c r="R130" s="156">
        <f t="shared" si="32"/>
        <v>-1502.8119116040355</v>
      </c>
    </row>
    <row r="131" spans="1:18" x14ac:dyDescent="0.2">
      <c r="A131" s="88">
        <v>4</v>
      </c>
      <c r="B131" s="150">
        <f t="shared" si="39"/>
        <v>45748</v>
      </c>
      <c r="C131" s="166">
        <f t="shared" si="41"/>
        <v>45782</v>
      </c>
      <c r="D131" s="166">
        <f t="shared" si="41"/>
        <v>45803</v>
      </c>
      <c r="E131" s="157" t="s">
        <v>15</v>
      </c>
      <c r="F131" s="88">
        <v>9</v>
      </c>
      <c r="G131" s="152">
        <v>3</v>
      </c>
      <c r="H131" s="153">
        <f t="shared" si="27"/>
        <v>1862.5628195437541</v>
      </c>
      <c r="I131" s="153">
        <f t="shared" si="43"/>
        <v>1662.2202268543867</v>
      </c>
      <c r="J131" s="104">
        <f t="shared" si="40"/>
        <v>4986.66068056316</v>
      </c>
      <c r="K131" s="154">
        <f t="shared" si="34"/>
        <v>5587.6884586312626</v>
      </c>
      <c r="L131" s="155">
        <f t="shared" ref="L131:L141" si="44">+J131-K131</f>
        <v>-601.02777806810263</v>
      </c>
      <c r="M131" s="104">
        <f t="shared" si="28"/>
        <v>-43.03446976219935</v>
      </c>
      <c r="N131" s="156">
        <f t="shared" si="29"/>
        <v>-644.062247830302</v>
      </c>
      <c r="O131" s="104">
        <f t="shared" si="30"/>
        <v>0</v>
      </c>
      <c r="P131" s="104">
        <f t="shared" si="31"/>
        <v>0</v>
      </c>
      <c r="Q131" s="104">
        <v>0</v>
      </c>
      <c r="R131" s="156">
        <f t="shared" si="32"/>
        <v>-644.062247830302</v>
      </c>
    </row>
    <row r="132" spans="1:18" x14ac:dyDescent="0.2">
      <c r="A132" s="88">
        <v>5</v>
      </c>
      <c r="B132" s="150">
        <f t="shared" si="39"/>
        <v>45778</v>
      </c>
      <c r="C132" s="166">
        <f t="shared" si="41"/>
        <v>45812</v>
      </c>
      <c r="D132" s="166">
        <f t="shared" si="41"/>
        <v>45832</v>
      </c>
      <c r="E132" s="1" t="s">
        <v>15</v>
      </c>
      <c r="F132" s="88">
        <v>9</v>
      </c>
      <c r="G132" s="152">
        <v>5</v>
      </c>
      <c r="H132" s="153">
        <f t="shared" si="27"/>
        <v>1862.5628195437541</v>
      </c>
      <c r="I132" s="153">
        <f t="shared" si="43"/>
        <v>1662.2202268543867</v>
      </c>
      <c r="J132" s="104">
        <f t="shared" si="40"/>
        <v>8311.1011342719339</v>
      </c>
      <c r="K132" s="154">
        <f t="shared" si="34"/>
        <v>9312.8140977187704</v>
      </c>
      <c r="L132" s="155">
        <f t="shared" si="44"/>
        <v>-1001.7129634468365</v>
      </c>
      <c r="M132" s="104">
        <f t="shared" si="28"/>
        <v>-71.724116270332232</v>
      </c>
      <c r="N132" s="156">
        <f t="shared" si="29"/>
        <v>-1073.4370797171687</v>
      </c>
      <c r="O132" s="104">
        <f t="shared" si="30"/>
        <v>0</v>
      </c>
      <c r="P132" s="104">
        <f t="shared" si="31"/>
        <v>0</v>
      </c>
      <c r="Q132" s="104">
        <v>0</v>
      </c>
      <c r="R132" s="156">
        <f t="shared" si="32"/>
        <v>-1073.4370797171687</v>
      </c>
    </row>
    <row r="133" spans="1:18" x14ac:dyDescent="0.2">
      <c r="A133" s="88">
        <v>6</v>
      </c>
      <c r="B133" s="150">
        <f t="shared" si="39"/>
        <v>45809</v>
      </c>
      <c r="C133" s="166">
        <f t="shared" si="41"/>
        <v>45841</v>
      </c>
      <c r="D133" s="166">
        <f t="shared" si="41"/>
        <v>45862</v>
      </c>
      <c r="E133" s="1" t="s">
        <v>15</v>
      </c>
      <c r="F133" s="88">
        <v>9</v>
      </c>
      <c r="G133" s="152">
        <v>10</v>
      </c>
      <c r="H133" s="153">
        <f t="shared" si="27"/>
        <v>1862.5628195437541</v>
      </c>
      <c r="I133" s="153">
        <f t="shared" si="43"/>
        <v>1662.2202268543867</v>
      </c>
      <c r="J133" s="104">
        <f t="shared" si="40"/>
        <v>16622.202268543868</v>
      </c>
      <c r="K133" s="154">
        <f t="shared" si="34"/>
        <v>18625.628195437541</v>
      </c>
      <c r="L133" s="155">
        <f t="shared" si="44"/>
        <v>-2003.425926893673</v>
      </c>
      <c r="M133" s="104">
        <f t="shared" si="28"/>
        <v>-143.44823254066446</v>
      </c>
      <c r="N133" s="156">
        <f t="shared" si="29"/>
        <v>-2146.8741594343373</v>
      </c>
      <c r="O133" s="104">
        <f t="shared" si="30"/>
        <v>0</v>
      </c>
      <c r="P133" s="104">
        <f t="shared" si="31"/>
        <v>0</v>
      </c>
      <c r="Q133" s="104">
        <v>0</v>
      </c>
      <c r="R133" s="156">
        <f t="shared" si="32"/>
        <v>-2146.8741594343373</v>
      </c>
    </row>
    <row r="134" spans="1:18" x14ac:dyDescent="0.2">
      <c r="A134" s="88">
        <v>7</v>
      </c>
      <c r="B134" s="150">
        <f t="shared" si="39"/>
        <v>45839</v>
      </c>
      <c r="C134" s="166">
        <f t="shared" si="41"/>
        <v>45874</v>
      </c>
      <c r="D134" s="166">
        <f t="shared" si="41"/>
        <v>45894</v>
      </c>
      <c r="E134" s="1" t="s">
        <v>15</v>
      </c>
      <c r="F134" s="88">
        <v>9</v>
      </c>
      <c r="G134" s="152">
        <v>17</v>
      </c>
      <c r="H134" s="153">
        <f t="shared" si="27"/>
        <v>1862.5628195437541</v>
      </c>
      <c r="I134" s="153">
        <f t="shared" si="43"/>
        <v>1662.2202268543867</v>
      </c>
      <c r="J134" s="104">
        <f t="shared" si="40"/>
        <v>28257.743856524576</v>
      </c>
      <c r="K134" s="154">
        <f t="shared" ref="K134:K197" si="45">+$G134*H134</f>
        <v>31663.567932243819</v>
      </c>
      <c r="L134" s="155">
        <f t="shared" si="44"/>
        <v>-3405.8240757192434</v>
      </c>
      <c r="M134" s="104">
        <f t="shared" si="28"/>
        <v>-243.86199531912962</v>
      </c>
      <c r="N134" s="156">
        <f t="shared" si="29"/>
        <v>-3649.686071038373</v>
      </c>
      <c r="O134" s="104">
        <f t="shared" si="30"/>
        <v>0</v>
      </c>
      <c r="P134" s="104">
        <f t="shared" si="31"/>
        <v>0</v>
      </c>
      <c r="Q134" s="104">
        <v>0</v>
      </c>
      <c r="R134" s="156">
        <f t="shared" si="32"/>
        <v>-3649.686071038373</v>
      </c>
    </row>
    <row r="135" spans="1:18" x14ac:dyDescent="0.2">
      <c r="A135" s="88">
        <v>8</v>
      </c>
      <c r="B135" s="150">
        <f t="shared" si="39"/>
        <v>45870</v>
      </c>
      <c r="C135" s="166">
        <f t="shared" si="41"/>
        <v>45904</v>
      </c>
      <c r="D135" s="166">
        <f t="shared" si="41"/>
        <v>45924</v>
      </c>
      <c r="E135" s="1" t="s">
        <v>15</v>
      </c>
      <c r="F135" s="88">
        <v>9</v>
      </c>
      <c r="G135" s="152">
        <v>16</v>
      </c>
      <c r="H135" s="153">
        <f t="shared" si="27"/>
        <v>1862.5628195437541</v>
      </c>
      <c r="I135" s="153">
        <f t="shared" si="43"/>
        <v>1662.2202268543867</v>
      </c>
      <c r="J135" s="104">
        <f t="shared" si="40"/>
        <v>26595.523629670188</v>
      </c>
      <c r="K135" s="154">
        <f t="shared" si="45"/>
        <v>29801.005112700066</v>
      </c>
      <c r="L135" s="155">
        <f t="shared" si="44"/>
        <v>-3205.4814830298783</v>
      </c>
      <c r="M135" s="104">
        <f t="shared" si="28"/>
        <v>-229.51717206506316</v>
      </c>
      <c r="N135" s="156">
        <f t="shared" si="29"/>
        <v>-3434.9986550949416</v>
      </c>
      <c r="O135" s="104">
        <f t="shared" si="30"/>
        <v>0</v>
      </c>
      <c r="P135" s="104">
        <f t="shared" si="31"/>
        <v>0</v>
      </c>
      <c r="Q135" s="104">
        <v>0</v>
      </c>
      <c r="R135" s="156">
        <f t="shared" si="32"/>
        <v>-3434.9986550949416</v>
      </c>
    </row>
    <row r="136" spans="1:18" x14ac:dyDescent="0.2">
      <c r="A136" s="88">
        <v>9</v>
      </c>
      <c r="B136" s="150">
        <f t="shared" si="39"/>
        <v>45901</v>
      </c>
      <c r="C136" s="166">
        <f t="shared" si="41"/>
        <v>45933</v>
      </c>
      <c r="D136" s="166">
        <f t="shared" si="41"/>
        <v>45954</v>
      </c>
      <c r="E136" s="1" t="s">
        <v>15</v>
      </c>
      <c r="F136" s="88">
        <v>9</v>
      </c>
      <c r="G136" s="152">
        <v>8</v>
      </c>
      <c r="H136" s="153">
        <f t="shared" si="27"/>
        <v>1862.5628195437541</v>
      </c>
      <c r="I136" s="153">
        <f t="shared" si="43"/>
        <v>1662.2202268543867</v>
      </c>
      <c r="J136" s="104">
        <f t="shared" si="40"/>
        <v>13297.761814835094</v>
      </c>
      <c r="K136" s="154">
        <f t="shared" si="45"/>
        <v>14900.502556350033</v>
      </c>
      <c r="L136" s="155">
        <f t="shared" si="44"/>
        <v>-1602.7407415149391</v>
      </c>
      <c r="M136" s="104">
        <f t="shared" si="28"/>
        <v>-114.75858603253158</v>
      </c>
      <c r="N136" s="156">
        <f t="shared" si="29"/>
        <v>-1717.4993275474708</v>
      </c>
      <c r="O136" s="104">
        <f t="shared" si="30"/>
        <v>0</v>
      </c>
      <c r="P136" s="104">
        <f t="shared" si="31"/>
        <v>0</v>
      </c>
      <c r="Q136" s="104">
        <v>0</v>
      </c>
      <c r="R136" s="156">
        <f t="shared" si="32"/>
        <v>-1717.4993275474708</v>
      </c>
    </row>
    <row r="137" spans="1:18" x14ac:dyDescent="0.2">
      <c r="A137" s="88">
        <v>10</v>
      </c>
      <c r="B137" s="150">
        <f t="shared" si="39"/>
        <v>45931</v>
      </c>
      <c r="C137" s="166">
        <f t="shared" si="41"/>
        <v>45966</v>
      </c>
      <c r="D137" s="166">
        <f t="shared" si="41"/>
        <v>45985</v>
      </c>
      <c r="E137" s="1" t="s">
        <v>15</v>
      </c>
      <c r="F137" s="88">
        <v>9</v>
      </c>
      <c r="G137" s="152">
        <v>8</v>
      </c>
      <c r="H137" s="153">
        <f t="shared" si="27"/>
        <v>1862.5628195437541</v>
      </c>
      <c r="I137" s="153">
        <f t="shared" si="43"/>
        <v>1662.2202268543867</v>
      </c>
      <c r="J137" s="104">
        <f t="shared" si="40"/>
        <v>13297.761814835094</v>
      </c>
      <c r="K137" s="154">
        <f t="shared" si="45"/>
        <v>14900.502556350033</v>
      </c>
      <c r="L137" s="155">
        <f t="shared" si="44"/>
        <v>-1602.7407415149391</v>
      </c>
      <c r="M137" s="104">
        <f t="shared" si="28"/>
        <v>-114.75858603253158</v>
      </c>
      <c r="N137" s="156">
        <f t="shared" si="29"/>
        <v>-1717.4993275474708</v>
      </c>
      <c r="O137" s="104">
        <f t="shared" si="30"/>
        <v>0</v>
      </c>
      <c r="P137" s="104">
        <f t="shared" si="31"/>
        <v>0</v>
      </c>
      <c r="Q137" s="104">
        <v>0</v>
      </c>
      <c r="R137" s="156">
        <f t="shared" si="32"/>
        <v>-1717.4993275474708</v>
      </c>
    </row>
    <row r="138" spans="1:18" x14ac:dyDescent="0.2">
      <c r="A138" s="88">
        <v>11</v>
      </c>
      <c r="B138" s="150">
        <f t="shared" si="39"/>
        <v>45962</v>
      </c>
      <c r="C138" s="166">
        <f t="shared" si="41"/>
        <v>45994</v>
      </c>
      <c r="D138" s="166">
        <f t="shared" si="41"/>
        <v>46015</v>
      </c>
      <c r="E138" s="1" t="s">
        <v>15</v>
      </c>
      <c r="F138" s="88">
        <v>9</v>
      </c>
      <c r="G138" s="152">
        <v>6</v>
      </c>
      <c r="H138" s="153">
        <f t="shared" si="27"/>
        <v>1862.5628195437541</v>
      </c>
      <c r="I138" s="153">
        <f t="shared" si="43"/>
        <v>1662.2202268543867</v>
      </c>
      <c r="J138" s="104">
        <f t="shared" si="40"/>
        <v>9973.32136112632</v>
      </c>
      <c r="K138" s="154">
        <f t="shared" si="45"/>
        <v>11175.376917262525</v>
      </c>
      <c r="L138" s="155">
        <f t="shared" si="44"/>
        <v>-1202.0555561362053</v>
      </c>
      <c r="M138" s="104">
        <f t="shared" si="28"/>
        <v>-86.068939524398701</v>
      </c>
      <c r="N138" s="156">
        <f t="shared" si="29"/>
        <v>-1288.124495660604</v>
      </c>
      <c r="O138" s="104">
        <f t="shared" si="30"/>
        <v>0</v>
      </c>
      <c r="P138" s="104">
        <f t="shared" si="31"/>
        <v>0</v>
      </c>
      <c r="Q138" s="104">
        <v>0</v>
      </c>
      <c r="R138" s="156">
        <f t="shared" si="32"/>
        <v>-1288.124495660604</v>
      </c>
    </row>
    <row r="139" spans="1:18" s="170" customFormat="1" x14ac:dyDescent="0.2">
      <c r="A139" s="88">
        <v>12</v>
      </c>
      <c r="B139" s="168">
        <f t="shared" si="39"/>
        <v>45992</v>
      </c>
      <c r="C139" s="166">
        <f t="shared" si="41"/>
        <v>46028</v>
      </c>
      <c r="D139" s="166">
        <f t="shared" si="41"/>
        <v>46048</v>
      </c>
      <c r="E139" s="169" t="s">
        <v>15</v>
      </c>
      <c r="F139" s="127">
        <v>9</v>
      </c>
      <c r="G139" s="212">
        <v>7</v>
      </c>
      <c r="H139" s="158">
        <f t="shared" si="27"/>
        <v>1862.5628195437541</v>
      </c>
      <c r="I139" s="158">
        <f t="shared" si="43"/>
        <v>1662.2202268543867</v>
      </c>
      <c r="J139" s="159">
        <f t="shared" si="40"/>
        <v>11635.541587980708</v>
      </c>
      <c r="K139" s="160">
        <f t="shared" si="45"/>
        <v>13037.939736806278</v>
      </c>
      <c r="L139" s="161">
        <f t="shared" si="44"/>
        <v>-1402.3981488255704</v>
      </c>
      <c r="M139" s="159">
        <f t="shared" si="28"/>
        <v>-100.41376277846513</v>
      </c>
      <c r="N139" s="213">
        <f t="shared" si="29"/>
        <v>-1502.8119116040355</v>
      </c>
      <c r="O139" s="159">
        <f t="shared" si="30"/>
        <v>0</v>
      </c>
      <c r="P139" s="159">
        <f t="shared" si="31"/>
        <v>0</v>
      </c>
      <c r="Q139" s="159">
        <v>0</v>
      </c>
      <c r="R139" s="213">
        <f t="shared" si="32"/>
        <v>-1502.8119116040355</v>
      </c>
    </row>
    <row r="140" spans="1:18" x14ac:dyDescent="0.2">
      <c r="A140" s="88">
        <v>1</v>
      </c>
      <c r="B140" s="150">
        <f t="shared" si="39"/>
        <v>45658</v>
      </c>
      <c r="C140" s="163">
        <f t="shared" ref="C140:D151" si="46">+C128</f>
        <v>45693</v>
      </c>
      <c r="D140" s="163">
        <f t="shared" si="46"/>
        <v>45712</v>
      </c>
      <c r="E140" s="173" t="s">
        <v>16</v>
      </c>
      <c r="F140" s="88">
        <v>9</v>
      </c>
      <c r="G140" s="152">
        <v>2</v>
      </c>
      <c r="H140" s="153">
        <f t="shared" si="27"/>
        <v>1862.5628195437541</v>
      </c>
      <c r="I140" s="153">
        <f t="shared" si="43"/>
        <v>1662.2202268543867</v>
      </c>
      <c r="J140" s="104">
        <f t="shared" si="40"/>
        <v>3324.4404537087735</v>
      </c>
      <c r="K140" s="154">
        <f t="shared" si="45"/>
        <v>3725.1256390875083</v>
      </c>
      <c r="L140" s="155">
        <f t="shared" si="44"/>
        <v>-400.68518537873479</v>
      </c>
      <c r="M140" s="104">
        <f t="shared" si="28"/>
        <v>-28.689646508132896</v>
      </c>
      <c r="N140" s="156">
        <f t="shared" si="29"/>
        <v>-429.3748318868677</v>
      </c>
      <c r="O140" s="104">
        <f t="shared" si="30"/>
        <v>0</v>
      </c>
      <c r="P140" s="104">
        <f t="shared" si="31"/>
        <v>0</v>
      </c>
      <c r="Q140" s="104">
        <v>0</v>
      </c>
      <c r="R140" s="156">
        <f t="shared" si="32"/>
        <v>-429.3748318868677</v>
      </c>
    </row>
    <row r="141" spans="1:18" x14ac:dyDescent="0.2">
      <c r="A141" s="88">
        <v>2</v>
      </c>
      <c r="B141" s="150">
        <f t="shared" si="39"/>
        <v>45689</v>
      </c>
      <c r="C141" s="166">
        <f t="shared" si="46"/>
        <v>45721</v>
      </c>
      <c r="D141" s="166">
        <f t="shared" si="46"/>
        <v>45740</v>
      </c>
      <c r="E141" s="1" t="s">
        <v>16</v>
      </c>
      <c r="F141" s="88">
        <v>9</v>
      </c>
      <c r="G141" s="152">
        <v>3</v>
      </c>
      <c r="H141" s="153">
        <f t="shared" si="27"/>
        <v>1862.5628195437541</v>
      </c>
      <c r="I141" s="153">
        <f t="shared" si="43"/>
        <v>1662.2202268543867</v>
      </c>
      <c r="J141" s="104">
        <f t="shared" si="40"/>
        <v>4986.66068056316</v>
      </c>
      <c r="K141" s="154">
        <f t="shared" si="45"/>
        <v>5587.6884586312626</v>
      </c>
      <c r="L141" s="155">
        <f t="shared" si="44"/>
        <v>-601.02777806810263</v>
      </c>
      <c r="M141" s="104">
        <f t="shared" si="28"/>
        <v>-43.03446976219935</v>
      </c>
      <c r="N141" s="156">
        <f t="shared" si="29"/>
        <v>-644.062247830302</v>
      </c>
      <c r="O141" s="104">
        <f t="shared" si="30"/>
        <v>0</v>
      </c>
      <c r="P141" s="104">
        <f t="shared" si="31"/>
        <v>0</v>
      </c>
      <c r="Q141" s="104">
        <v>0</v>
      </c>
      <c r="R141" s="156">
        <f t="shared" si="32"/>
        <v>-644.062247830302</v>
      </c>
    </row>
    <row r="142" spans="1:18" x14ac:dyDescent="0.2">
      <c r="A142" s="88">
        <v>3</v>
      </c>
      <c r="B142" s="150">
        <f t="shared" si="39"/>
        <v>45717</v>
      </c>
      <c r="C142" s="166">
        <f t="shared" si="46"/>
        <v>45750</v>
      </c>
      <c r="D142" s="166">
        <f t="shared" si="46"/>
        <v>45771</v>
      </c>
      <c r="E142" s="1" t="s">
        <v>16</v>
      </c>
      <c r="F142" s="88">
        <v>9</v>
      </c>
      <c r="G142" s="152">
        <v>2</v>
      </c>
      <c r="H142" s="153">
        <f t="shared" si="27"/>
        <v>1862.5628195437541</v>
      </c>
      <c r="I142" s="153">
        <f t="shared" si="43"/>
        <v>1662.2202268543867</v>
      </c>
      <c r="J142" s="104">
        <f t="shared" si="40"/>
        <v>3324.4404537087735</v>
      </c>
      <c r="K142" s="154">
        <f t="shared" si="45"/>
        <v>3725.1256390875083</v>
      </c>
      <c r="L142" s="155">
        <f>+J142-K142</f>
        <v>-400.68518537873479</v>
      </c>
      <c r="M142" s="104">
        <f t="shared" si="28"/>
        <v>-28.689646508132896</v>
      </c>
      <c r="N142" s="156">
        <f t="shared" si="29"/>
        <v>-429.3748318868677</v>
      </c>
      <c r="O142" s="104">
        <f t="shared" si="30"/>
        <v>0</v>
      </c>
      <c r="P142" s="104">
        <f t="shared" si="31"/>
        <v>0</v>
      </c>
      <c r="Q142" s="104">
        <v>0</v>
      </c>
      <c r="R142" s="156">
        <f t="shared" si="32"/>
        <v>-429.3748318868677</v>
      </c>
    </row>
    <row r="143" spans="1:18" x14ac:dyDescent="0.2">
      <c r="A143" s="88">
        <v>4</v>
      </c>
      <c r="B143" s="150">
        <f t="shared" si="39"/>
        <v>45748</v>
      </c>
      <c r="C143" s="166">
        <f t="shared" si="46"/>
        <v>45782</v>
      </c>
      <c r="D143" s="166">
        <f t="shared" si="46"/>
        <v>45803</v>
      </c>
      <c r="E143" s="1" t="s">
        <v>16</v>
      </c>
      <c r="F143" s="88">
        <v>9</v>
      </c>
      <c r="G143" s="152">
        <v>1</v>
      </c>
      <c r="H143" s="153">
        <f t="shared" si="27"/>
        <v>1862.5628195437541</v>
      </c>
      <c r="I143" s="153">
        <f t="shared" si="43"/>
        <v>1662.2202268543867</v>
      </c>
      <c r="J143" s="104">
        <f t="shared" si="40"/>
        <v>1662.2202268543867</v>
      </c>
      <c r="K143" s="154">
        <f t="shared" si="45"/>
        <v>1862.5628195437541</v>
      </c>
      <c r="L143" s="155">
        <f t="shared" ref="L143:L153" si="47">+J143-K143</f>
        <v>-200.34259268936739</v>
      </c>
      <c r="M143" s="104">
        <f t="shared" si="28"/>
        <v>-14.344823254066448</v>
      </c>
      <c r="N143" s="156">
        <f t="shared" si="29"/>
        <v>-214.68741594343385</v>
      </c>
      <c r="O143" s="104">
        <f t="shared" si="30"/>
        <v>0</v>
      </c>
      <c r="P143" s="104">
        <f t="shared" si="31"/>
        <v>0</v>
      </c>
      <c r="Q143" s="104">
        <v>0</v>
      </c>
      <c r="R143" s="156">
        <f t="shared" si="32"/>
        <v>-214.68741594343385</v>
      </c>
    </row>
    <row r="144" spans="1:18" x14ac:dyDescent="0.2">
      <c r="A144" s="88">
        <v>5</v>
      </c>
      <c r="B144" s="150">
        <f t="shared" si="39"/>
        <v>45778</v>
      </c>
      <c r="C144" s="166">
        <f t="shared" si="46"/>
        <v>45812</v>
      </c>
      <c r="D144" s="166">
        <f t="shared" si="46"/>
        <v>45832</v>
      </c>
      <c r="E144" s="1" t="s">
        <v>16</v>
      </c>
      <c r="F144" s="88">
        <v>9</v>
      </c>
      <c r="G144" s="152">
        <v>2</v>
      </c>
      <c r="H144" s="153">
        <f t="shared" si="27"/>
        <v>1862.5628195437541</v>
      </c>
      <c r="I144" s="153">
        <f t="shared" si="43"/>
        <v>1662.2202268543867</v>
      </c>
      <c r="J144" s="104">
        <f t="shared" si="40"/>
        <v>3324.4404537087735</v>
      </c>
      <c r="K144" s="154">
        <f t="shared" si="45"/>
        <v>3725.1256390875083</v>
      </c>
      <c r="L144" s="155">
        <f t="shared" si="47"/>
        <v>-400.68518537873479</v>
      </c>
      <c r="M144" s="104">
        <f t="shared" si="28"/>
        <v>-28.689646508132896</v>
      </c>
      <c r="N144" s="156">
        <f t="shared" si="29"/>
        <v>-429.3748318868677</v>
      </c>
      <c r="O144" s="104">
        <f t="shared" si="30"/>
        <v>0</v>
      </c>
      <c r="P144" s="104">
        <f t="shared" si="31"/>
        <v>0</v>
      </c>
      <c r="Q144" s="104">
        <v>0</v>
      </c>
      <c r="R144" s="156">
        <f t="shared" si="32"/>
        <v>-429.3748318868677</v>
      </c>
    </row>
    <row r="145" spans="1:18" x14ac:dyDescent="0.2">
      <c r="A145" s="88">
        <v>6</v>
      </c>
      <c r="B145" s="150">
        <f t="shared" si="39"/>
        <v>45809</v>
      </c>
      <c r="C145" s="166">
        <f t="shared" si="46"/>
        <v>45841</v>
      </c>
      <c r="D145" s="166">
        <f t="shared" si="46"/>
        <v>45862</v>
      </c>
      <c r="E145" s="1" t="s">
        <v>16</v>
      </c>
      <c r="F145" s="88">
        <v>9</v>
      </c>
      <c r="G145" s="152">
        <v>3</v>
      </c>
      <c r="H145" s="153">
        <f t="shared" si="27"/>
        <v>1862.5628195437541</v>
      </c>
      <c r="I145" s="153">
        <f t="shared" si="43"/>
        <v>1662.2202268543867</v>
      </c>
      <c r="J145" s="104">
        <f t="shared" si="40"/>
        <v>4986.66068056316</v>
      </c>
      <c r="K145" s="154">
        <f t="shared" si="45"/>
        <v>5587.6884586312626</v>
      </c>
      <c r="L145" s="155">
        <f t="shared" si="47"/>
        <v>-601.02777806810263</v>
      </c>
      <c r="M145" s="104">
        <f t="shared" si="28"/>
        <v>-43.03446976219935</v>
      </c>
      <c r="N145" s="156">
        <f t="shared" si="29"/>
        <v>-644.062247830302</v>
      </c>
      <c r="O145" s="104">
        <f t="shared" si="30"/>
        <v>0</v>
      </c>
      <c r="P145" s="104">
        <f t="shared" si="31"/>
        <v>0</v>
      </c>
      <c r="Q145" s="104">
        <v>0</v>
      </c>
      <c r="R145" s="156">
        <f t="shared" si="32"/>
        <v>-644.062247830302</v>
      </c>
    </row>
    <row r="146" spans="1:18" x14ac:dyDescent="0.2">
      <c r="A146" s="88">
        <v>7</v>
      </c>
      <c r="B146" s="150">
        <f t="shared" si="39"/>
        <v>45839</v>
      </c>
      <c r="C146" s="166">
        <f t="shared" si="46"/>
        <v>45874</v>
      </c>
      <c r="D146" s="166">
        <f t="shared" si="46"/>
        <v>45894</v>
      </c>
      <c r="E146" s="1" t="s">
        <v>16</v>
      </c>
      <c r="F146" s="88">
        <v>9</v>
      </c>
      <c r="G146" s="152">
        <v>7</v>
      </c>
      <c r="H146" s="153">
        <f t="shared" si="27"/>
        <v>1862.5628195437541</v>
      </c>
      <c r="I146" s="153">
        <f t="shared" si="43"/>
        <v>1662.2202268543867</v>
      </c>
      <c r="J146" s="104">
        <f t="shared" si="40"/>
        <v>11635.541587980708</v>
      </c>
      <c r="K146" s="154">
        <f t="shared" si="45"/>
        <v>13037.939736806278</v>
      </c>
      <c r="L146" s="155">
        <f t="shared" si="47"/>
        <v>-1402.3981488255704</v>
      </c>
      <c r="M146" s="104">
        <f t="shared" si="28"/>
        <v>-100.41376277846513</v>
      </c>
      <c r="N146" s="156">
        <f t="shared" si="29"/>
        <v>-1502.8119116040355</v>
      </c>
      <c r="O146" s="104">
        <f t="shared" si="30"/>
        <v>0</v>
      </c>
      <c r="P146" s="104">
        <f t="shared" si="31"/>
        <v>0</v>
      </c>
      <c r="Q146" s="104">
        <v>0</v>
      </c>
      <c r="R146" s="156">
        <f t="shared" si="32"/>
        <v>-1502.8119116040355</v>
      </c>
    </row>
    <row r="147" spans="1:18" x14ac:dyDescent="0.2">
      <c r="A147" s="88">
        <v>8</v>
      </c>
      <c r="B147" s="150">
        <f t="shared" si="39"/>
        <v>45870</v>
      </c>
      <c r="C147" s="166">
        <f t="shared" si="46"/>
        <v>45904</v>
      </c>
      <c r="D147" s="166">
        <f t="shared" si="46"/>
        <v>45924</v>
      </c>
      <c r="E147" s="1" t="s">
        <v>16</v>
      </c>
      <c r="F147" s="88">
        <v>9</v>
      </c>
      <c r="G147" s="152">
        <v>5</v>
      </c>
      <c r="H147" s="153">
        <f t="shared" si="27"/>
        <v>1862.5628195437541</v>
      </c>
      <c r="I147" s="153">
        <f t="shared" si="43"/>
        <v>1662.2202268543867</v>
      </c>
      <c r="J147" s="104">
        <f t="shared" si="40"/>
        <v>8311.1011342719339</v>
      </c>
      <c r="K147" s="154">
        <f t="shared" si="45"/>
        <v>9312.8140977187704</v>
      </c>
      <c r="L147" s="155">
        <f t="shared" si="47"/>
        <v>-1001.7129634468365</v>
      </c>
      <c r="M147" s="104">
        <f t="shared" si="28"/>
        <v>-71.724116270332232</v>
      </c>
      <c r="N147" s="156">
        <f t="shared" si="29"/>
        <v>-1073.4370797171687</v>
      </c>
      <c r="O147" s="104">
        <f t="shared" si="30"/>
        <v>0</v>
      </c>
      <c r="P147" s="104">
        <f t="shared" si="31"/>
        <v>0</v>
      </c>
      <c r="Q147" s="104">
        <v>0</v>
      </c>
      <c r="R147" s="156">
        <f t="shared" si="32"/>
        <v>-1073.4370797171687</v>
      </c>
    </row>
    <row r="148" spans="1:18" x14ac:dyDescent="0.2">
      <c r="A148" s="88">
        <v>9</v>
      </c>
      <c r="B148" s="150">
        <f t="shared" si="39"/>
        <v>45901</v>
      </c>
      <c r="C148" s="166">
        <f t="shared" si="46"/>
        <v>45933</v>
      </c>
      <c r="D148" s="166">
        <f t="shared" si="46"/>
        <v>45954</v>
      </c>
      <c r="E148" s="1" t="s">
        <v>16</v>
      </c>
      <c r="F148" s="88">
        <v>9</v>
      </c>
      <c r="G148" s="152">
        <v>2</v>
      </c>
      <c r="H148" s="153">
        <f t="shared" si="27"/>
        <v>1862.5628195437541</v>
      </c>
      <c r="I148" s="153">
        <f t="shared" ref="I148:I179" si="48">$J$3</f>
        <v>1662.2202268543867</v>
      </c>
      <c r="J148" s="104">
        <f t="shared" si="40"/>
        <v>3324.4404537087735</v>
      </c>
      <c r="K148" s="154">
        <f t="shared" si="45"/>
        <v>3725.1256390875083</v>
      </c>
      <c r="L148" s="155">
        <f t="shared" si="47"/>
        <v>-400.68518537873479</v>
      </c>
      <c r="M148" s="104">
        <f t="shared" si="28"/>
        <v>-28.689646508132896</v>
      </c>
      <c r="N148" s="156">
        <f t="shared" si="29"/>
        <v>-429.3748318868677</v>
      </c>
      <c r="O148" s="104">
        <f t="shared" si="30"/>
        <v>0</v>
      </c>
      <c r="P148" s="104">
        <f t="shared" si="31"/>
        <v>0</v>
      </c>
      <c r="Q148" s="104">
        <v>0</v>
      </c>
      <c r="R148" s="156">
        <f t="shared" si="32"/>
        <v>-429.3748318868677</v>
      </c>
    </row>
    <row r="149" spans="1:18" x14ac:dyDescent="0.2">
      <c r="A149" s="88">
        <v>10</v>
      </c>
      <c r="B149" s="150">
        <f t="shared" ref="B149:B211" si="49">DATE($R$1,A149,1)</f>
        <v>45931</v>
      </c>
      <c r="C149" s="166">
        <f t="shared" si="46"/>
        <v>45966</v>
      </c>
      <c r="D149" s="166">
        <f t="shared" si="46"/>
        <v>45985</v>
      </c>
      <c r="E149" s="1" t="s">
        <v>16</v>
      </c>
      <c r="F149" s="88">
        <v>9</v>
      </c>
      <c r="G149" s="152">
        <v>3</v>
      </c>
      <c r="H149" s="153">
        <f t="shared" ref="H149:H211" si="50">+$K$3</f>
        <v>1862.5628195437541</v>
      </c>
      <c r="I149" s="153">
        <f t="shared" si="48"/>
        <v>1662.2202268543867</v>
      </c>
      <c r="J149" s="104">
        <f t="shared" ref="J149:J211" si="51">+$G149*I149</f>
        <v>4986.66068056316</v>
      </c>
      <c r="K149" s="154">
        <f t="shared" si="45"/>
        <v>5587.6884586312626</v>
      </c>
      <c r="L149" s="155">
        <f t="shared" si="47"/>
        <v>-601.02777806810263</v>
      </c>
      <c r="M149" s="104">
        <f t="shared" ref="M149:M211" si="52">G149/$G$212*$M$14</f>
        <v>-43.03446976219935</v>
      </c>
      <c r="N149" s="156">
        <f t="shared" ref="N149:N211" si="53">SUM(L149:M149)</f>
        <v>-644.062247830302</v>
      </c>
      <c r="O149" s="104">
        <f t="shared" ref="O149:O211" si="54">+$P$3</f>
        <v>0</v>
      </c>
      <c r="P149" s="104">
        <f t="shared" ref="P149:P211" si="55">+G149*O149</f>
        <v>0</v>
      </c>
      <c r="Q149" s="104">
        <v>0</v>
      </c>
      <c r="R149" s="156">
        <f t="shared" ref="R149:R211" si="56">+N149-Q149</f>
        <v>-644.062247830302</v>
      </c>
    </row>
    <row r="150" spans="1:18" x14ac:dyDescent="0.2">
      <c r="A150" s="88">
        <v>11</v>
      </c>
      <c r="B150" s="150">
        <f t="shared" si="49"/>
        <v>45962</v>
      </c>
      <c r="C150" s="166">
        <f t="shared" si="46"/>
        <v>45994</v>
      </c>
      <c r="D150" s="166">
        <f t="shared" si="46"/>
        <v>46015</v>
      </c>
      <c r="E150" s="1" t="s">
        <v>16</v>
      </c>
      <c r="F150" s="88">
        <v>9</v>
      </c>
      <c r="G150" s="152">
        <v>1</v>
      </c>
      <c r="H150" s="153">
        <f t="shared" si="50"/>
        <v>1862.5628195437541</v>
      </c>
      <c r="I150" s="153">
        <f t="shared" si="48"/>
        <v>1662.2202268543867</v>
      </c>
      <c r="J150" s="104">
        <f t="shared" si="51"/>
        <v>1662.2202268543867</v>
      </c>
      <c r="K150" s="154">
        <f t="shared" si="45"/>
        <v>1862.5628195437541</v>
      </c>
      <c r="L150" s="155">
        <f t="shared" si="47"/>
        <v>-200.34259268936739</v>
      </c>
      <c r="M150" s="104">
        <f t="shared" si="52"/>
        <v>-14.344823254066448</v>
      </c>
      <c r="N150" s="156">
        <f t="shared" si="53"/>
        <v>-214.68741594343385</v>
      </c>
      <c r="O150" s="104">
        <f t="shared" si="54"/>
        <v>0</v>
      </c>
      <c r="P150" s="104">
        <f t="shared" si="55"/>
        <v>0</v>
      </c>
      <c r="Q150" s="104">
        <v>0</v>
      </c>
      <c r="R150" s="156">
        <f t="shared" si="56"/>
        <v>-214.68741594343385</v>
      </c>
    </row>
    <row r="151" spans="1:18" s="170" customFormat="1" x14ac:dyDescent="0.2">
      <c r="A151" s="88">
        <v>12</v>
      </c>
      <c r="B151" s="168">
        <f t="shared" si="49"/>
        <v>45992</v>
      </c>
      <c r="C151" s="166">
        <f t="shared" si="46"/>
        <v>46028</v>
      </c>
      <c r="D151" s="166">
        <f t="shared" si="46"/>
        <v>46048</v>
      </c>
      <c r="E151" s="169" t="s">
        <v>16</v>
      </c>
      <c r="F151" s="127">
        <v>9</v>
      </c>
      <c r="G151" s="212">
        <v>2</v>
      </c>
      <c r="H151" s="158">
        <f t="shared" si="50"/>
        <v>1862.5628195437541</v>
      </c>
      <c r="I151" s="158">
        <f t="shared" si="48"/>
        <v>1662.2202268543867</v>
      </c>
      <c r="J151" s="159">
        <f t="shared" si="51"/>
        <v>3324.4404537087735</v>
      </c>
      <c r="K151" s="160">
        <f t="shared" si="45"/>
        <v>3725.1256390875083</v>
      </c>
      <c r="L151" s="161">
        <f t="shared" si="47"/>
        <v>-400.68518537873479</v>
      </c>
      <c r="M151" s="159">
        <f t="shared" si="52"/>
        <v>-28.689646508132896</v>
      </c>
      <c r="N151" s="213">
        <f t="shared" si="53"/>
        <v>-429.3748318868677</v>
      </c>
      <c r="O151" s="159">
        <f t="shared" si="54"/>
        <v>0</v>
      </c>
      <c r="P151" s="159">
        <f t="shared" si="55"/>
        <v>0</v>
      </c>
      <c r="Q151" s="159">
        <v>0</v>
      </c>
      <c r="R151" s="213">
        <f t="shared" si="56"/>
        <v>-429.3748318868677</v>
      </c>
    </row>
    <row r="152" spans="1:18" x14ac:dyDescent="0.2">
      <c r="A152" s="88">
        <v>1</v>
      </c>
      <c r="B152" s="150">
        <f t="shared" si="49"/>
        <v>45658</v>
      </c>
      <c r="C152" s="163">
        <f t="shared" ref="C152:D171" si="57">+C140</f>
        <v>45693</v>
      </c>
      <c r="D152" s="163">
        <f t="shared" si="57"/>
        <v>45712</v>
      </c>
      <c r="E152" s="173" t="s">
        <v>56</v>
      </c>
      <c r="F152" s="88">
        <v>9</v>
      </c>
      <c r="G152" s="152">
        <v>137</v>
      </c>
      <c r="H152" s="153">
        <f t="shared" si="50"/>
        <v>1862.5628195437541</v>
      </c>
      <c r="I152" s="153">
        <f t="shared" si="48"/>
        <v>1662.2202268543867</v>
      </c>
      <c r="J152" s="104">
        <f t="shared" si="51"/>
        <v>227724.17107905098</v>
      </c>
      <c r="K152" s="154">
        <f t="shared" si="45"/>
        <v>255171.10627749431</v>
      </c>
      <c r="L152" s="155">
        <f t="shared" si="47"/>
        <v>-27446.935198443331</v>
      </c>
      <c r="M152" s="104">
        <f t="shared" si="52"/>
        <v>-1965.2407858071033</v>
      </c>
      <c r="N152" s="156">
        <f t="shared" si="53"/>
        <v>-29412.175984250433</v>
      </c>
      <c r="O152" s="104">
        <f t="shared" si="54"/>
        <v>0</v>
      </c>
      <c r="P152" s="104">
        <f t="shared" si="55"/>
        <v>0</v>
      </c>
      <c r="Q152" s="104">
        <v>0</v>
      </c>
      <c r="R152" s="156">
        <f t="shared" si="56"/>
        <v>-29412.175984250433</v>
      </c>
    </row>
    <row r="153" spans="1:18" x14ac:dyDescent="0.2">
      <c r="A153" s="88">
        <v>2</v>
      </c>
      <c r="B153" s="150">
        <f t="shared" si="49"/>
        <v>45689</v>
      </c>
      <c r="C153" s="166">
        <f t="shared" si="57"/>
        <v>45721</v>
      </c>
      <c r="D153" s="166">
        <f t="shared" si="57"/>
        <v>45740</v>
      </c>
      <c r="E153" s="174" t="s">
        <v>56</v>
      </c>
      <c r="F153" s="88">
        <v>9</v>
      </c>
      <c r="G153" s="152">
        <v>156</v>
      </c>
      <c r="H153" s="153">
        <f t="shared" si="50"/>
        <v>1862.5628195437541</v>
      </c>
      <c r="I153" s="153">
        <f t="shared" si="48"/>
        <v>1662.2202268543867</v>
      </c>
      <c r="J153" s="104">
        <f t="shared" si="51"/>
        <v>259306.35538928432</v>
      </c>
      <c r="K153" s="154">
        <f t="shared" si="45"/>
        <v>290559.79984882567</v>
      </c>
      <c r="L153" s="155">
        <f t="shared" si="47"/>
        <v>-31253.444459541352</v>
      </c>
      <c r="M153" s="104">
        <f t="shared" si="52"/>
        <v>-2237.792427634366</v>
      </c>
      <c r="N153" s="156">
        <f t="shared" si="53"/>
        <v>-33491.236887175721</v>
      </c>
      <c r="O153" s="104">
        <f t="shared" si="54"/>
        <v>0</v>
      </c>
      <c r="P153" s="104">
        <f t="shared" si="55"/>
        <v>0</v>
      </c>
      <c r="Q153" s="104">
        <v>0</v>
      </c>
      <c r="R153" s="156">
        <f t="shared" si="56"/>
        <v>-33491.236887175721</v>
      </c>
    </row>
    <row r="154" spans="1:18" x14ac:dyDescent="0.2">
      <c r="A154" s="88">
        <v>3</v>
      </c>
      <c r="B154" s="150">
        <f t="shared" si="49"/>
        <v>45717</v>
      </c>
      <c r="C154" s="166">
        <f t="shared" si="57"/>
        <v>45750</v>
      </c>
      <c r="D154" s="166">
        <f t="shared" si="57"/>
        <v>45771</v>
      </c>
      <c r="E154" s="174" t="s">
        <v>56</v>
      </c>
      <c r="F154" s="88">
        <v>9</v>
      </c>
      <c r="G154" s="152">
        <v>113</v>
      </c>
      <c r="H154" s="153">
        <f t="shared" si="50"/>
        <v>1862.5628195437541</v>
      </c>
      <c r="I154" s="153">
        <f t="shared" si="48"/>
        <v>1662.2202268543867</v>
      </c>
      <c r="J154" s="104">
        <f t="shared" si="51"/>
        <v>187830.8856345457</v>
      </c>
      <c r="K154" s="154">
        <f t="shared" si="45"/>
        <v>210469.59860844421</v>
      </c>
      <c r="L154" s="155">
        <f>+J154-K154</f>
        <v>-22638.71297389851</v>
      </c>
      <c r="M154" s="104">
        <f t="shared" si="52"/>
        <v>-1620.9650277095086</v>
      </c>
      <c r="N154" s="156">
        <f t="shared" si="53"/>
        <v>-24259.678001608019</v>
      </c>
      <c r="O154" s="104">
        <f t="shared" si="54"/>
        <v>0</v>
      </c>
      <c r="P154" s="104">
        <f t="shared" si="55"/>
        <v>0</v>
      </c>
      <c r="Q154" s="104">
        <v>0</v>
      </c>
      <c r="R154" s="156">
        <f t="shared" si="56"/>
        <v>-24259.678001608019</v>
      </c>
    </row>
    <row r="155" spans="1:18" x14ac:dyDescent="0.2">
      <c r="A155" s="88">
        <v>4</v>
      </c>
      <c r="B155" s="150">
        <f t="shared" si="49"/>
        <v>45748</v>
      </c>
      <c r="C155" s="166">
        <f t="shared" si="57"/>
        <v>45782</v>
      </c>
      <c r="D155" s="166">
        <f t="shared" si="57"/>
        <v>45803</v>
      </c>
      <c r="E155" s="174" t="s">
        <v>56</v>
      </c>
      <c r="F155" s="88">
        <v>9</v>
      </c>
      <c r="G155" s="152">
        <v>112</v>
      </c>
      <c r="H155" s="153">
        <f t="shared" si="50"/>
        <v>1862.5628195437541</v>
      </c>
      <c r="I155" s="153">
        <f t="shared" si="48"/>
        <v>1662.2202268543867</v>
      </c>
      <c r="J155" s="104">
        <f t="shared" si="51"/>
        <v>186168.66540769133</v>
      </c>
      <c r="K155" s="154">
        <f t="shared" si="45"/>
        <v>208607.03578890045</v>
      </c>
      <c r="L155" s="155">
        <f t="shared" ref="L155:L165" si="58">+J155-K155</f>
        <v>-22438.370381209126</v>
      </c>
      <c r="M155" s="104">
        <f t="shared" si="52"/>
        <v>-1606.620204455442</v>
      </c>
      <c r="N155" s="156">
        <f t="shared" si="53"/>
        <v>-24044.990585664567</v>
      </c>
      <c r="O155" s="104">
        <f t="shared" si="54"/>
        <v>0</v>
      </c>
      <c r="P155" s="104">
        <f t="shared" si="55"/>
        <v>0</v>
      </c>
      <c r="Q155" s="104">
        <v>0</v>
      </c>
      <c r="R155" s="156">
        <f t="shared" si="56"/>
        <v>-24044.990585664567</v>
      </c>
    </row>
    <row r="156" spans="1:18" x14ac:dyDescent="0.2">
      <c r="A156" s="88">
        <v>5</v>
      </c>
      <c r="B156" s="150">
        <f t="shared" si="49"/>
        <v>45778</v>
      </c>
      <c r="C156" s="166">
        <f t="shared" si="57"/>
        <v>45812</v>
      </c>
      <c r="D156" s="166">
        <f t="shared" si="57"/>
        <v>45832</v>
      </c>
      <c r="E156" s="174" t="s">
        <v>56</v>
      </c>
      <c r="F156" s="88">
        <v>9</v>
      </c>
      <c r="G156" s="152">
        <v>142</v>
      </c>
      <c r="H156" s="153">
        <f t="shared" si="50"/>
        <v>1862.5628195437541</v>
      </c>
      <c r="I156" s="153">
        <f t="shared" si="48"/>
        <v>1662.2202268543867</v>
      </c>
      <c r="J156" s="104">
        <f t="shared" si="51"/>
        <v>236035.27221332293</v>
      </c>
      <c r="K156" s="154">
        <f t="shared" si="45"/>
        <v>264483.92037521309</v>
      </c>
      <c r="L156" s="155">
        <f t="shared" si="58"/>
        <v>-28448.64816189016</v>
      </c>
      <c r="M156" s="104">
        <f t="shared" si="52"/>
        <v>-2036.9649020774357</v>
      </c>
      <c r="N156" s="156">
        <f t="shared" si="53"/>
        <v>-30485.613063967594</v>
      </c>
      <c r="O156" s="104">
        <f t="shared" si="54"/>
        <v>0</v>
      </c>
      <c r="P156" s="104">
        <f t="shared" si="55"/>
        <v>0</v>
      </c>
      <c r="Q156" s="104">
        <v>0</v>
      </c>
      <c r="R156" s="156">
        <f t="shared" si="56"/>
        <v>-30485.613063967594</v>
      </c>
    </row>
    <row r="157" spans="1:18" x14ac:dyDescent="0.2">
      <c r="A157" s="88">
        <v>6</v>
      </c>
      <c r="B157" s="150">
        <f t="shared" si="49"/>
        <v>45809</v>
      </c>
      <c r="C157" s="166">
        <f t="shared" si="57"/>
        <v>45841</v>
      </c>
      <c r="D157" s="166">
        <f t="shared" si="57"/>
        <v>45862</v>
      </c>
      <c r="E157" s="174" t="s">
        <v>56</v>
      </c>
      <c r="F157" s="88">
        <v>9</v>
      </c>
      <c r="G157" s="152">
        <v>165</v>
      </c>
      <c r="H157" s="153">
        <f t="shared" si="50"/>
        <v>1862.5628195437541</v>
      </c>
      <c r="I157" s="153">
        <f t="shared" si="48"/>
        <v>1662.2202268543867</v>
      </c>
      <c r="J157" s="104">
        <f t="shared" si="51"/>
        <v>274266.33743097383</v>
      </c>
      <c r="K157" s="154">
        <f t="shared" si="45"/>
        <v>307322.86522471946</v>
      </c>
      <c r="L157" s="155">
        <f t="shared" si="58"/>
        <v>-33056.527793745627</v>
      </c>
      <c r="M157" s="104">
        <f t="shared" si="52"/>
        <v>-2366.895836920964</v>
      </c>
      <c r="N157" s="156">
        <f t="shared" si="53"/>
        <v>-35423.423630666592</v>
      </c>
      <c r="O157" s="104">
        <f t="shared" si="54"/>
        <v>0</v>
      </c>
      <c r="P157" s="104">
        <f t="shared" si="55"/>
        <v>0</v>
      </c>
      <c r="Q157" s="104">
        <v>0</v>
      </c>
      <c r="R157" s="156">
        <f t="shared" si="56"/>
        <v>-35423.423630666592</v>
      </c>
    </row>
    <row r="158" spans="1:18" x14ac:dyDescent="0.2">
      <c r="A158" s="88">
        <v>7</v>
      </c>
      <c r="B158" s="150">
        <f t="shared" si="49"/>
        <v>45839</v>
      </c>
      <c r="C158" s="166">
        <f t="shared" si="57"/>
        <v>45874</v>
      </c>
      <c r="D158" s="166">
        <f t="shared" si="57"/>
        <v>45894</v>
      </c>
      <c r="E158" s="174" t="s">
        <v>56</v>
      </c>
      <c r="F158" s="88">
        <v>9</v>
      </c>
      <c r="G158" s="152">
        <v>185</v>
      </c>
      <c r="H158" s="153">
        <f t="shared" si="50"/>
        <v>1862.5628195437541</v>
      </c>
      <c r="I158" s="153">
        <f t="shared" si="48"/>
        <v>1662.2202268543867</v>
      </c>
      <c r="J158" s="104">
        <f t="shared" si="51"/>
        <v>307510.74196806154</v>
      </c>
      <c r="K158" s="154">
        <f t="shared" si="45"/>
        <v>344574.12161559449</v>
      </c>
      <c r="L158" s="155">
        <f t="shared" si="58"/>
        <v>-37063.379647532944</v>
      </c>
      <c r="M158" s="104">
        <f t="shared" si="52"/>
        <v>-2653.7923020022927</v>
      </c>
      <c r="N158" s="156">
        <f t="shared" si="53"/>
        <v>-39717.171949535237</v>
      </c>
      <c r="O158" s="104">
        <f t="shared" si="54"/>
        <v>0</v>
      </c>
      <c r="P158" s="104">
        <f t="shared" si="55"/>
        <v>0</v>
      </c>
      <c r="Q158" s="104">
        <v>0</v>
      </c>
      <c r="R158" s="156">
        <f t="shared" si="56"/>
        <v>-39717.171949535237</v>
      </c>
    </row>
    <row r="159" spans="1:18" x14ac:dyDescent="0.2">
      <c r="A159" s="88">
        <v>8</v>
      </c>
      <c r="B159" s="150">
        <f t="shared" si="49"/>
        <v>45870</v>
      </c>
      <c r="C159" s="166">
        <f t="shared" si="57"/>
        <v>45904</v>
      </c>
      <c r="D159" s="166">
        <f t="shared" si="57"/>
        <v>45924</v>
      </c>
      <c r="E159" s="174" t="s">
        <v>56</v>
      </c>
      <c r="F159" s="88">
        <v>9</v>
      </c>
      <c r="G159" s="152">
        <v>191</v>
      </c>
      <c r="H159" s="153">
        <f t="shared" si="50"/>
        <v>1862.5628195437541</v>
      </c>
      <c r="I159" s="153">
        <f t="shared" si="48"/>
        <v>1662.2202268543867</v>
      </c>
      <c r="J159" s="104">
        <f t="shared" si="51"/>
        <v>317484.06332918786</v>
      </c>
      <c r="K159" s="154">
        <f t="shared" si="45"/>
        <v>355749.49853285705</v>
      </c>
      <c r="L159" s="155">
        <f t="shared" si="58"/>
        <v>-38265.435203669185</v>
      </c>
      <c r="M159" s="104">
        <f t="shared" si="52"/>
        <v>-2739.8612415266916</v>
      </c>
      <c r="N159" s="156">
        <f t="shared" si="53"/>
        <v>-41005.296445195876</v>
      </c>
      <c r="O159" s="104">
        <f t="shared" si="54"/>
        <v>0</v>
      </c>
      <c r="P159" s="104">
        <f t="shared" si="55"/>
        <v>0</v>
      </c>
      <c r="Q159" s="104">
        <v>0</v>
      </c>
      <c r="R159" s="156">
        <f t="shared" si="56"/>
        <v>-41005.296445195876</v>
      </c>
    </row>
    <row r="160" spans="1:18" x14ac:dyDescent="0.2">
      <c r="A160" s="88">
        <v>9</v>
      </c>
      <c r="B160" s="150">
        <f t="shared" si="49"/>
        <v>45901</v>
      </c>
      <c r="C160" s="166">
        <f t="shared" si="57"/>
        <v>45933</v>
      </c>
      <c r="D160" s="166">
        <f t="shared" si="57"/>
        <v>45954</v>
      </c>
      <c r="E160" s="174" t="s">
        <v>56</v>
      </c>
      <c r="F160" s="88">
        <v>9</v>
      </c>
      <c r="G160" s="152">
        <v>140</v>
      </c>
      <c r="H160" s="153">
        <f t="shared" si="50"/>
        <v>1862.5628195437541</v>
      </c>
      <c r="I160" s="153">
        <f t="shared" si="48"/>
        <v>1662.2202268543867</v>
      </c>
      <c r="J160" s="104">
        <f t="shared" si="51"/>
        <v>232710.83175961414</v>
      </c>
      <c r="K160" s="154">
        <f t="shared" si="45"/>
        <v>260758.79473612556</v>
      </c>
      <c r="L160" s="155">
        <f t="shared" si="58"/>
        <v>-28047.962976511422</v>
      </c>
      <c r="M160" s="104">
        <f t="shared" si="52"/>
        <v>-2008.2752555693028</v>
      </c>
      <c r="N160" s="156">
        <f t="shared" si="53"/>
        <v>-30056.238232080726</v>
      </c>
      <c r="O160" s="104">
        <f t="shared" si="54"/>
        <v>0</v>
      </c>
      <c r="P160" s="104">
        <f t="shared" si="55"/>
        <v>0</v>
      </c>
      <c r="Q160" s="104">
        <v>0</v>
      </c>
      <c r="R160" s="156">
        <f t="shared" si="56"/>
        <v>-30056.238232080726</v>
      </c>
    </row>
    <row r="161" spans="1:18" x14ac:dyDescent="0.2">
      <c r="A161" s="88">
        <v>10</v>
      </c>
      <c r="B161" s="150">
        <f t="shared" si="49"/>
        <v>45931</v>
      </c>
      <c r="C161" s="166">
        <f t="shared" si="57"/>
        <v>45966</v>
      </c>
      <c r="D161" s="166">
        <f t="shared" si="57"/>
        <v>45985</v>
      </c>
      <c r="E161" s="174" t="s">
        <v>56</v>
      </c>
      <c r="F161" s="88">
        <v>9</v>
      </c>
      <c r="G161" s="152">
        <v>137</v>
      </c>
      <c r="H161" s="153">
        <f t="shared" si="50"/>
        <v>1862.5628195437541</v>
      </c>
      <c r="I161" s="153">
        <f t="shared" si="48"/>
        <v>1662.2202268543867</v>
      </c>
      <c r="J161" s="104">
        <f t="shared" si="51"/>
        <v>227724.17107905098</v>
      </c>
      <c r="K161" s="154">
        <f t="shared" si="45"/>
        <v>255171.10627749431</v>
      </c>
      <c r="L161" s="155">
        <f t="shared" si="58"/>
        <v>-27446.935198443331</v>
      </c>
      <c r="M161" s="104">
        <f t="shared" si="52"/>
        <v>-1965.2407858071033</v>
      </c>
      <c r="N161" s="156">
        <f t="shared" si="53"/>
        <v>-29412.175984250433</v>
      </c>
      <c r="O161" s="104">
        <f t="shared" si="54"/>
        <v>0</v>
      </c>
      <c r="P161" s="104">
        <f t="shared" si="55"/>
        <v>0</v>
      </c>
      <c r="Q161" s="104">
        <v>0</v>
      </c>
      <c r="R161" s="156">
        <f t="shared" si="56"/>
        <v>-29412.175984250433</v>
      </c>
    </row>
    <row r="162" spans="1:18" x14ac:dyDescent="0.2">
      <c r="A162" s="88">
        <v>11</v>
      </c>
      <c r="B162" s="150">
        <f t="shared" si="49"/>
        <v>45962</v>
      </c>
      <c r="C162" s="166">
        <f t="shared" si="57"/>
        <v>45994</v>
      </c>
      <c r="D162" s="166">
        <f t="shared" si="57"/>
        <v>46015</v>
      </c>
      <c r="E162" s="174" t="s">
        <v>56</v>
      </c>
      <c r="F162" s="88">
        <v>9</v>
      </c>
      <c r="G162" s="152">
        <v>120</v>
      </c>
      <c r="H162" s="153">
        <f t="shared" si="50"/>
        <v>1862.5628195437541</v>
      </c>
      <c r="I162" s="153">
        <f t="shared" si="48"/>
        <v>1662.2202268543867</v>
      </c>
      <c r="J162" s="104">
        <f t="shared" si="51"/>
        <v>199466.4272225264</v>
      </c>
      <c r="K162" s="154">
        <f t="shared" si="45"/>
        <v>223507.5383452505</v>
      </c>
      <c r="L162" s="155">
        <f t="shared" si="58"/>
        <v>-24041.111122724105</v>
      </c>
      <c r="M162" s="104">
        <f t="shared" si="52"/>
        <v>-1721.3787904879737</v>
      </c>
      <c r="N162" s="156">
        <f t="shared" si="53"/>
        <v>-25762.489913212077</v>
      </c>
      <c r="O162" s="104">
        <f t="shared" si="54"/>
        <v>0</v>
      </c>
      <c r="P162" s="104">
        <f t="shared" si="55"/>
        <v>0</v>
      </c>
      <c r="Q162" s="104">
        <v>0</v>
      </c>
      <c r="R162" s="156">
        <f t="shared" si="56"/>
        <v>-25762.489913212077</v>
      </c>
    </row>
    <row r="163" spans="1:18" s="170" customFormat="1" x14ac:dyDescent="0.2">
      <c r="A163" s="88">
        <v>12</v>
      </c>
      <c r="B163" s="168">
        <f t="shared" si="49"/>
        <v>45992</v>
      </c>
      <c r="C163" s="166">
        <f t="shared" si="57"/>
        <v>46028</v>
      </c>
      <c r="D163" s="166">
        <f t="shared" si="57"/>
        <v>46048</v>
      </c>
      <c r="E163" s="175" t="s">
        <v>56</v>
      </c>
      <c r="F163" s="127">
        <v>9</v>
      </c>
      <c r="G163" s="212">
        <v>128</v>
      </c>
      <c r="H163" s="158">
        <f t="shared" si="50"/>
        <v>1862.5628195437541</v>
      </c>
      <c r="I163" s="158">
        <f t="shared" si="48"/>
        <v>1662.2202268543867</v>
      </c>
      <c r="J163" s="159">
        <f t="shared" si="51"/>
        <v>212764.1890373615</v>
      </c>
      <c r="K163" s="160">
        <f t="shared" si="45"/>
        <v>238408.04090160053</v>
      </c>
      <c r="L163" s="161">
        <f t="shared" si="58"/>
        <v>-25643.851864239026</v>
      </c>
      <c r="M163" s="159">
        <f t="shared" si="52"/>
        <v>-1836.1373765205053</v>
      </c>
      <c r="N163" s="213">
        <f t="shared" si="53"/>
        <v>-27479.989240759533</v>
      </c>
      <c r="O163" s="159">
        <f t="shared" si="54"/>
        <v>0</v>
      </c>
      <c r="P163" s="159">
        <f t="shared" si="55"/>
        <v>0</v>
      </c>
      <c r="Q163" s="159">
        <v>0</v>
      </c>
      <c r="R163" s="213">
        <f t="shared" si="56"/>
        <v>-27479.989240759533</v>
      </c>
    </row>
    <row r="164" spans="1:18" x14ac:dyDescent="0.2">
      <c r="A164" s="88">
        <v>1</v>
      </c>
      <c r="B164" s="150">
        <f t="shared" si="49"/>
        <v>45658</v>
      </c>
      <c r="C164" s="163">
        <f t="shared" si="57"/>
        <v>45693</v>
      </c>
      <c r="D164" s="163">
        <f t="shared" si="57"/>
        <v>45712</v>
      </c>
      <c r="E164" s="173" t="s">
        <v>57</v>
      </c>
      <c r="F164" s="88">
        <v>9</v>
      </c>
      <c r="G164" s="152">
        <v>11</v>
      </c>
      <c r="H164" s="153">
        <f t="shared" si="50"/>
        <v>1862.5628195437541</v>
      </c>
      <c r="I164" s="153">
        <f t="shared" si="48"/>
        <v>1662.2202268543867</v>
      </c>
      <c r="J164" s="104">
        <f t="shared" si="51"/>
        <v>18284.422495398256</v>
      </c>
      <c r="K164" s="154">
        <f t="shared" si="45"/>
        <v>20488.191014981294</v>
      </c>
      <c r="L164" s="155">
        <f t="shared" si="58"/>
        <v>-2203.7685195830381</v>
      </c>
      <c r="M164" s="104">
        <f t="shared" si="52"/>
        <v>-157.79305579473095</v>
      </c>
      <c r="N164" s="156">
        <f t="shared" si="53"/>
        <v>-2361.5615753777693</v>
      </c>
      <c r="O164" s="104">
        <f t="shared" si="54"/>
        <v>0</v>
      </c>
      <c r="P164" s="104">
        <f t="shared" si="55"/>
        <v>0</v>
      </c>
      <c r="Q164" s="104">
        <v>0</v>
      </c>
      <c r="R164" s="156">
        <f t="shared" si="56"/>
        <v>-2361.5615753777693</v>
      </c>
    </row>
    <row r="165" spans="1:18" x14ac:dyDescent="0.2">
      <c r="A165" s="88">
        <v>2</v>
      </c>
      <c r="B165" s="150">
        <f t="shared" si="49"/>
        <v>45689</v>
      </c>
      <c r="C165" s="166">
        <f t="shared" si="57"/>
        <v>45721</v>
      </c>
      <c r="D165" s="166">
        <f t="shared" si="57"/>
        <v>45740</v>
      </c>
      <c r="E165" s="174" t="s">
        <v>57</v>
      </c>
      <c r="F165" s="88">
        <v>9</v>
      </c>
      <c r="G165" s="152">
        <v>9</v>
      </c>
      <c r="H165" s="153">
        <f t="shared" si="50"/>
        <v>1862.5628195437541</v>
      </c>
      <c r="I165" s="153">
        <f t="shared" si="48"/>
        <v>1662.2202268543867</v>
      </c>
      <c r="J165" s="104">
        <f t="shared" si="51"/>
        <v>14959.98204168948</v>
      </c>
      <c r="K165" s="154">
        <f t="shared" si="45"/>
        <v>16763.065375893788</v>
      </c>
      <c r="L165" s="155">
        <f t="shared" si="58"/>
        <v>-1803.0833342043079</v>
      </c>
      <c r="M165" s="104">
        <f t="shared" si="52"/>
        <v>-129.10340928659804</v>
      </c>
      <c r="N165" s="156">
        <f t="shared" si="53"/>
        <v>-1932.1867434909059</v>
      </c>
      <c r="O165" s="104">
        <f t="shared" si="54"/>
        <v>0</v>
      </c>
      <c r="P165" s="104">
        <f t="shared" si="55"/>
        <v>0</v>
      </c>
      <c r="Q165" s="104">
        <v>0</v>
      </c>
      <c r="R165" s="156">
        <f t="shared" si="56"/>
        <v>-1932.1867434909059</v>
      </c>
    </row>
    <row r="166" spans="1:18" x14ac:dyDescent="0.2">
      <c r="A166" s="88">
        <v>3</v>
      </c>
      <c r="B166" s="150">
        <f t="shared" si="49"/>
        <v>45717</v>
      </c>
      <c r="C166" s="166">
        <f t="shared" si="57"/>
        <v>45750</v>
      </c>
      <c r="D166" s="166">
        <f t="shared" si="57"/>
        <v>45771</v>
      </c>
      <c r="E166" s="174" t="s">
        <v>57</v>
      </c>
      <c r="F166" s="88">
        <v>9</v>
      </c>
      <c r="G166" s="152">
        <v>8</v>
      </c>
      <c r="H166" s="153">
        <f t="shared" si="50"/>
        <v>1862.5628195437541</v>
      </c>
      <c r="I166" s="153">
        <f t="shared" si="48"/>
        <v>1662.2202268543867</v>
      </c>
      <c r="J166" s="104">
        <f t="shared" si="51"/>
        <v>13297.761814835094</v>
      </c>
      <c r="K166" s="154">
        <f t="shared" si="45"/>
        <v>14900.502556350033</v>
      </c>
      <c r="L166" s="155">
        <f>+J166-K166</f>
        <v>-1602.7407415149391</v>
      </c>
      <c r="M166" s="104">
        <f t="shared" si="52"/>
        <v>-114.75858603253158</v>
      </c>
      <c r="N166" s="156">
        <f t="shared" si="53"/>
        <v>-1717.4993275474708</v>
      </c>
      <c r="O166" s="104">
        <f t="shared" si="54"/>
        <v>0</v>
      </c>
      <c r="P166" s="104">
        <f t="shared" si="55"/>
        <v>0</v>
      </c>
      <c r="Q166" s="104">
        <v>0</v>
      </c>
      <c r="R166" s="156">
        <f t="shared" si="56"/>
        <v>-1717.4993275474708</v>
      </c>
    </row>
    <row r="167" spans="1:18" x14ac:dyDescent="0.2">
      <c r="A167" s="88">
        <v>4</v>
      </c>
      <c r="B167" s="150">
        <f t="shared" si="49"/>
        <v>45748</v>
      </c>
      <c r="C167" s="166">
        <f t="shared" si="57"/>
        <v>45782</v>
      </c>
      <c r="D167" s="166">
        <f t="shared" si="57"/>
        <v>45803</v>
      </c>
      <c r="E167" s="174" t="s">
        <v>57</v>
      </c>
      <c r="F167" s="88">
        <v>9</v>
      </c>
      <c r="G167" s="152">
        <v>10</v>
      </c>
      <c r="H167" s="153">
        <f t="shared" si="50"/>
        <v>1862.5628195437541</v>
      </c>
      <c r="I167" s="153">
        <f t="shared" si="48"/>
        <v>1662.2202268543867</v>
      </c>
      <c r="J167" s="104">
        <f t="shared" si="51"/>
        <v>16622.202268543868</v>
      </c>
      <c r="K167" s="154">
        <f t="shared" si="45"/>
        <v>18625.628195437541</v>
      </c>
      <c r="L167" s="155">
        <f t="shared" ref="L167:L177" si="59">+J167-K167</f>
        <v>-2003.425926893673</v>
      </c>
      <c r="M167" s="104">
        <f t="shared" si="52"/>
        <v>-143.44823254066446</v>
      </c>
      <c r="N167" s="156">
        <f t="shared" si="53"/>
        <v>-2146.8741594343373</v>
      </c>
      <c r="O167" s="104">
        <f t="shared" si="54"/>
        <v>0</v>
      </c>
      <c r="P167" s="104">
        <f t="shared" si="55"/>
        <v>0</v>
      </c>
      <c r="Q167" s="104">
        <v>0</v>
      </c>
      <c r="R167" s="156">
        <f t="shared" si="56"/>
        <v>-2146.8741594343373</v>
      </c>
    </row>
    <row r="168" spans="1:18" x14ac:dyDescent="0.2">
      <c r="A168" s="88">
        <v>5</v>
      </c>
      <c r="B168" s="150">
        <f t="shared" si="49"/>
        <v>45778</v>
      </c>
      <c r="C168" s="166">
        <f t="shared" si="57"/>
        <v>45812</v>
      </c>
      <c r="D168" s="166">
        <f t="shared" si="57"/>
        <v>45832</v>
      </c>
      <c r="E168" s="174" t="s">
        <v>57</v>
      </c>
      <c r="F168" s="88">
        <v>9</v>
      </c>
      <c r="G168" s="152">
        <v>11</v>
      </c>
      <c r="H168" s="153">
        <f t="shared" si="50"/>
        <v>1862.5628195437541</v>
      </c>
      <c r="I168" s="153">
        <f t="shared" si="48"/>
        <v>1662.2202268543867</v>
      </c>
      <c r="J168" s="104">
        <f t="shared" si="51"/>
        <v>18284.422495398256</v>
      </c>
      <c r="K168" s="154">
        <f t="shared" si="45"/>
        <v>20488.191014981294</v>
      </c>
      <c r="L168" s="155">
        <f t="shared" si="59"/>
        <v>-2203.7685195830381</v>
      </c>
      <c r="M168" s="104">
        <f t="shared" si="52"/>
        <v>-157.79305579473095</v>
      </c>
      <c r="N168" s="156">
        <f t="shared" si="53"/>
        <v>-2361.5615753777693</v>
      </c>
      <c r="O168" s="104">
        <f t="shared" si="54"/>
        <v>0</v>
      </c>
      <c r="P168" s="104">
        <f t="shared" si="55"/>
        <v>0</v>
      </c>
      <c r="Q168" s="104">
        <v>0</v>
      </c>
      <c r="R168" s="156">
        <f t="shared" si="56"/>
        <v>-2361.5615753777693</v>
      </c>
    </row>
    <row r="169" spans="1:18" x14ac:dyDescent="0.2">
      <c r="A169" s="88">
        <v>6</v>
      </c>
      <c r="B169" s="150">
        <f t="shared" si="49"/>
        <v>45809</v>
      </c>
      <c r="C169" s="166">
        <f t="shared" si="57"/>
        <v>45841</v>
      </c>
      <c r="D169" s="166">
        <f t="shared" si="57"/>
        <v>45862</v>
      </c>
      <c r="E169" s="174" t="s">
        <v>57</v>
      </c>
      <c r="F169" s="88">
        <v>9</v>
      </c>
      <c r="G169" s="152">
        <v>11</v>
      </c>
      <c r="H169" s="153">
        <f t="shared" si="50"/>
        <v>1862.5628195437541</v>
      </c>
      <c r="I169" s="153">
        <f t="shared" si="48"/>
        <v>1662.2202268543867</v>
      </c>
      <c r="J169" s="104">
        <f t="shared" si="51"/>
        <v>18284.422495398256</v>
      </c>
      <c r="K169" s="154">
        <f t="shared" si="45"/>
        <v>20488.191014981294</v>
      </c>
      <c r="L169" s="155">
        <f t="shared" si="59"/>
        <v>-2203.7685195830381</v>
      </c>
      <c r="M169" s="104">
        <f t="shared" si="52"/>
        <v>-157.79305579473095</v>
      </c>
      <c r="N169" s="156">
        <f t="shared" si="53"/>
        <v>-2361.5615753777693</v>
      </c>
      <c r="O169" s="104">
        <f t="shared" si="54"/>
        <v>0</v>
      </c>
      <c r="P169" s="104">
        <f t="shared" si="55"/>
        <v>0</v>
      </c>
      <c r="Q169" s="104">
        <v>0</v>
      </c>
      <c r="R169" s="156">
        <f t="shared" si="56"/>
        <v>-2361.5615753777693</v>
      </c>
    </row>
    <row r="170" spans="1:18" x14ac:dyDescent="0.2">
      <c r="A170" s="88">
        <v>7</v>
      </c>
      <c r="B170" s="150">
        <f t="shared" si="49"/>
        <v>45839</v>
      </c>
      <c r="C170" s="166">
        <f t="shared" si="57"/>
        <v>45874</v>
      </c>
      <c r="D170" s="166">
        <f t="shared" si="57"/>
        <v>45894</v>
      </c>
      <c r="E170" s="174" t="s">
        <v>57</v>
      </c>
      <c r="F170" s="88">
        <v>9</v>
      </c>
      <c r="G170" s="152">
        <v>14</v>
      </c>
      <c r="H170" s="153">
        <f t="shared" si="50"/>
        <v>1862.5628195437541</v>
      </c>
      <c r="I170" s="153">
        <f t="shared" si="48"/>
        <v>1662.2202268543867</v>
      </c>
      <c r="J170" s="104">
        <f t="shared" si="51"/>
        <v>23271.083175961416</v>
      </c>
      <c r="K170" s="154">
        <f t="shared" si="45"/>
        <v>26075.879473612556</v>
      </c>
      <c r="L170" s="155">
        <f t="shared" si="59"/>
        <v>-2804.7962976511408</v>
      </c>
      <c r="M170" s="104">
        <f t="shared" si="52"/>
        <v>-200.82752555693025</v>
      </c>
      <c r="N170" s="156">
        <f t="shared" si="53"/>
        <v>-3005.6238232080709</v>
      </c>
      <c r="O170" s="104">
        <f t="shared" si="54"/>
        <v>0</v>
      </c>
      <c r="P170" s="104">
        <f t="shared" si="55"/>
        <v>0</v>
      </c>
      <c r="Q170" s="104">
        <v>0</v>
      </c>
      <c r="R170" s="156">
        <f t="shared" si="56"/>
        <v>-3005.6238232080709</v>
      </c>
    </row>
    <row r="171" spans="1:18" x14ac:dyDescent="0.2">
      <c r="A171" s="88">
        <v>8</v>
      </c>
      <c r="B171" s="150">
        <f t="shared" si="49"/>
        <v>45870</v>
      </c>
      <c r="C171" s="166">
        <f t="shared" si="57"/>
        <v>45904</v>
      </c>
      <c r="D171" s="166">
        <f t="shared" si="57"/>
        <v>45924</v>
      </c>
      <c r="E171" s="174" t="s">
        <v>57</v>
      </c>
      <c r="F171" s="88">
        <v>9</v>
      </c>
      <c r="G171" s="152">
        <v>11</v>
      </c>
      <c r="H171" s="153">
        <f t="shared" si="50"/>
        <v>1862.5628195437541</v>
      </c>
      <c r="I171" s="153">
        <f t="shared" si="48"/>
        <v>1662.2202268543867</v>
      </c>
      <c r="J171" s="104">
        <f t="shared" si="51"/>
        <v>18284.422495398256</v>
      </c>
      <c r="K171" s="154">
        <f t="shared" si="45"/>
        <v>20488.191014981294</v>
      </c>
      <c r="L171" s="155">
        <f t="shared" si="59"/>
        <v>-2203.7685195830381</v>
      </c>
      <c r="M171" s="104">
        <f t="shared" si="52"/>
        <v>-157.79305579473095</v>
      </c>
      <c r="N171" s="156">
        <f t="shared" si="53"/>
        <v>-2361.5615753777693</v>
      </c>
      <c r="O171" s="104">
        <f t="shared" si="54"/>
        <v>0</v>
      </c>
      <c r="P171" s="104">
        <f t="shared" si="55"/>
        <v>0</v>
      </c>
      <c r="Q171" s="104">
        <v>0</v>
      </c>
      <c r="R171" s="156">
        <f t="shared" si="56"/>
        <v>-2361.5615753777693</v>
      </c>
    </row>
    <row r="172" spans="1:18" x14ac:dyDescent="0.2">
      <c r="A172" s="88">
        <v>9</v>
      </c>
      <c r="B172" s="150">
        <f t="shared" si="49"/>
        <v>45901</v>
      </c>
      <c r="C172" s="166">
        <f t="shared" ref="C172:D175" si="60">+C160</f>
        <v>45933</v>
      </c>
      <c r="D172" s="166">
        <f t="shared" si="60"/>
        <v>45954</v>
      </c>
      <c r="E172" s="174" t="s">
        <v>57</v>
      </c>
      <c r="F172" s="88">
        <v>9</v>
      </c>
      <c r="G172" s="152">
        <v>12</v>
      </c>
      <c r="H172" s="153">
        <f t="shared" si="50"/>
        <v>1862.5628195437541</v>
      </c>
      <c r="I172" s="153">
        <f t="shared" si="48"/>
        <v>1662.2202268543867</v>
      </c>
      <c r="J172" s="104">
        <f t="shared" si="51"/>
        <v>19946.64272225264</v>
      </c>
      <c r="K172" s="154">
        <f t="shared" si="45"/>
        <v>22350.75383452505</v>
      </c>
      <c r="L172" s="155">
        <f t="shared" si="59"/>
        <v>-2404.1111122724105</v>
      </c>
      <c r="M172" s="104">
        <f t="shared" si="52"/>
        <v>-172.1378790487974</v>
      </c>
      <c r="N172" s="156">
        <f t="shared" si="53"/>
        <v>-2576.248991321208</v>
      </c>
      <c r="O172" s="104">
        <f t="shared" si="54"/>
        <v>0</v>
      </c>
      <c r="P172" s="104">
        <f t="shared" si="55"/>
        <v>0</v>
      </c>
      <c r="Q172" s="104">
        <v>0</v>
      </c>
      <c r="R172" s="156">
        <f t="shared" si="56"/>
        <v>-2576.248991321208</v>
      </c>
    </row>
    <row r="173" spans="1:18" x14ac:dyDescent="0.2">
      <c r="A173" s="88">
        <v>10</v>
      </c>
      <c r="B173" s="150">
        <f t="shared" si="49"/>
        <v>45931</v>
      </c>
      <c r="C173" s="166">
        <f t="shared" si="60"/>
        <v>45966</v>
      </c>
      <c r="D173" s="166">
        <f t="shared" si="60"/>
        <v>45985</v>
      </c>
      <c r="E173" s="174" t="s">
        <v>57</v>
      </c>
      <c r="F173" s="88">
        <v>9</v>
      </c>
      <c r="G173" s="152">
        <v>13</v>
      </c>
      <c r="H173" s="153">
        <f t="shared" si="50"/>
        <v>1862.5628195437541</v>
      </c>
      <c r="I173" s="153">
        <f t="shared" si="48"/>
        <v>1662.2202268543867</v>
      </c>
      <c r="J173" s="104">
        <f t="shared" si="51"/>
        <v>21608.862949107028</v>
      </c>
      <c r="K173" s="154">
        <f t="shared" si="45"/>
        <v>24213.316654068803</v>
      </c>
      <c r="L173" s="155">
        <f t="shared" si="59"/>
        <v>-2604.4537049617757</v>
      </c>
      <c r="M173" s="104">
        <f t="shared" si="52"/>
        <v>-186.48270230286383</v>
      </c>
      <c r="N173" s="156">
        <f t="shared" si="53"/>
        <v>-2790.9364072646395</v>
      </c>
      <c r="O173" s="104">
        <f t="shared" si="54"/>
        <v>0</v>
      </c>
      <c r="P173" s="104">
        <f t="shared" si="55"/>
        <v>0</v>
      </c>
      <c r="Q173" s="104">
        <v>0</v>
      </c>
      <c r="R173" s="156">
        <f t="shared" si="56"/>
        <v>-2790.9364072646395</v>
      </c>
    </row>
    <row r="174" spans="1:18" x14ac:dyDescent="0.2">
      <c r="A174" s="88">
        <v>11</v>
      </c>
      <c r="B174" s="150">
        <f t="shared" si="49"/>
        <v>45962</v>
      </c>
      <c r="C174" s="166">
        <f t="shared" si="60"/>
        <v>45994</v>
      </c>
      <c r="D174" s="166">
        <f t="shared" si="60"/>
        <v>46015</v>
      </c>
      <c r="E174" s="174" t="s">
        <v>57</v>
      </c>
      <c r="F174" s="88">
        <v>9</v>
      </c>
      <c r="G174" s="152">
        <v>10</v>
      </c>
      <c r="H174" s="153">
        <f t="shared" si="50"/>
        <v>1862.5628195437541</v>
      </c>
      <c r="I174" s="153">
        <f t="shared" si="48"/>
        <v>1662.2202268543867</v>
      </c>
      <c r="J174" s="104">
        <f t="shared" si="51"/>
        <v>16622.202268543868</v>
      </c>
      <c r="K174" s="154">
        <f t="shared" si="45"/>
        <v>18625.628195437541</v>
      </c>
      <c r="L174" s="155">
        <f t="shared" si="59"/>
        <v>-2003.425926893673</v>
      </c>
      <c r="M174" s="104">
        <f t="shared" si="52"/>
        <v>-143.44823254066446</v>
      </c>
      <c r="N174" s="156">
        <f t="shared" si="53"/>
        <v>-2146.8741594343373</v>
      </c>
      <c r="O174" s="104">
        <f t="shared" si="54"/>
        <v>0</v>
      </c>
      <c r="P174" s="104">
        <f t="shared" si="55"/>
        <v>0</v>
      </c>
      <c r="Q174" s="104">
        <v>0</v>
      </c>
      <c r="R174" s="156">
        <f t="shared" si="56"/>
        <v>-2146.8741594343373</v>
      </c>
    </row>
    <row r="175" spans="1:18" s="170" customFormat="1" x14ac:dyDescent="0.2">
      <c r="A175" s="88">
        <v>12</v>
      </c>
      <c r="B175" s="168">
        <f t="shared" si="49"/>
        <v>45992</v>
      </c>
      <c r="C175" s="166">
        <f t="shared" si="60"/>
        <v>46028</v>
      </c>
      <c r="D175" s="166">
        <f t="shared" si="60"/>
        <v>46048</v>
      </c>
      <c r="E175" s="175" t="s">
        <v>57</v>
      </c>
      <c r="F175" s="127">
        <v>9</v>
      </c>
      <c r="G175" s="212">
        <v>7</v>
      </c>
      <c r="H175" s="158">
        <f t="shared" si="50"/>
        <v>1862.5628195437541</v>
      </c>
      <c r="I175" s="158">
        <f t="shared" si="48"/>
        <v>1662.2202268543867</v>
      </c>
      <c r="J175" s="159">
        <f t="shared" si="51"/>
        <v>11635.541587980708</v>
      </c>
      <c r="K175" s="160">
        <f t="shared" si="45"/>
        <v>13037.939736806278</v>
      </c>
      <c r="L175" s="161">
        <f t="shared" si="59"/>
        <v>-1402.3981488255704</v>
      </c>
      <c r="M175" s="159">
        <f t="shared" si="52"/>
        <v>-100.41376277846513</v>
      </c>
      <c r="N175" s="213">
        <f t="shared" si="53"/>
        <v>-1502.8119116040355</v>
      </c>
      <c r="O175" s="159">
        <f t="shared" si="54"/>
        <v>0</v>
      </c>
      <c r="P175" s="159">
        <f t="shared" si="55"/>
        <v>0</v>
      </c>
      <c r="Q175" s="159">
        <v>0</v>
      </c>
      <c r="R175" s="213">
        <f t="shared" si="56"/>
        <v>-1502.8119116040355</v>
      </c>
    </row>
    <row r="176" spans="1:18" x14ac:dyDescent="0.2">
      <c r="A176" s="88">
        <v>1</v>
      </c>
      <c r="B176" s="150">
        <f t="shared" si="49"/>
        <v>45658</v>
      </c>
      <c r="C176" s="163">
        <f t="shared" ref="C176:D187" si="61">+C152</f>
        <v>45693</v>
      </c>
      <c r="D176" s="163">
        <f t="shared" si="61"/>
        <v>45712</v>
      </c>
      <c r="E176" s="173" t="s">
        <v>58</v>
      </c>
      <c r="F176" s="88">
        <v>9</v>
      </c>
      <c r="G176" s="152">
        <v>0</v>
      </c>
      <c r="H176" s="153">
        <f t="shared" si="50"/>
        <v>1862.5628195437541</v>
      </c>
      <c r="I176" s="153">
        <f t="shared" si="48"/>
        <v>1662.2202268543867</v>
      </c>
      <c r="J176" s="104">
        <f t="shared" si="51"/>
        <v>0</v>
      </c>
      <c r="K176" s="154">
        <f t="shared" si="45"/>
        <v>0</v>
      </c>
      <c r="L176" s="155">
        <f t="shared" si="59"/>
        <v>0</v>
      </c>
      <c r="M176" s="104">
        <f t="shared" si="52"/>
        <v>0</v>
      </c>
      <c r="N176" s="156">
        <f t="shared" si="53"/>
        <v>0</v>
      </c>
      <c r="O176" s="104">
        <f t="shared" si="54"/>
        <v>0</v>
      </c>
      <c r="P176" s="104">
        <f t="shared" si="55"/>
        <v>0</v>
      </c>
      <c r="Q176" s="104">
        <v>0</v>
      </c>
      <c r="R176" s="156">
        <f t="shared" si="56"/>
        <v>0</v>
      </c>
    </row>
    <row r="177" spans="1:18" x14ac:dyDescent="0.2">
      <c r="A177" s="88">
        <v>2</v>
      </c>
      <c r="B177" s="150">
        <f t="shared" si="49"/>
        <v>45689</v>
      </c>
      <c r="C177" s="166">
        <f t="shared" si="61"/>
        <v>45721</v>
      </c>
      <c r="D177" s="166">
        <f t="shared" si="61"/>
        <v>45740</v>
      </c>
      <c r="E177" s="1" t="s">
        <v>58</v>
      </c>
      <c r="F177" s="88">
        <v>9</v>
      </c>
      <c r="G177" s="152">
        <v>0</v>
      </c>
      <c r="H177" s="153">
        <f t="shared" si="50"/>
        <v>1862.5628195437541</v>
      </c>
      <c r="I177" s="153">
        <f t="shared" si="48"/>
        <v>1662.2202268543867</v>
      </c>
      <c r="J177" s="104">
        <f t="shared" si="51"/>
        <v>0</v>
      </c>
      <c r="K177" s="154">
        <f t="shared" si="45"/>
        <v>0</v>
      </c>
      <c r="L177" s="155">
        <f t="shared" si="59"/>
        <v>0</v>
      </c>
      <c r="M177" s="104">
        <f t="shared" si="52"/>
        <v>0</v>
      </c>
      <c r="N177" s="156">
        <f t="shared" si="53"/>
        <v>0</v>
      </c>
      <c r="O177" s="104">
        <f t="shared" si="54"/>
        <v>0</v>
      </c>
      <c r="P177" s="104">
        <f t="shared" si="55"/>
        <v>0</v>
      </c>
      <c r="Q177" s="104">
        <v>0</v>
      </c>
      <c r="R177" s="156">
        <f t="shared" si="56"/>
        <v>0</v>
      </c>
    </row>
    <row r="178" spans="1:18" x14ac:dyDescent="0.2">
      <c r="A178" s="88">
        <v>3</v>
      </c>
      <c r="B178" s="150">
        <f t="shared" si="49"/>
        <v>45717</v>
      </c>
      <c r="C178" s="166">
        <f t="shared" si="61"/>
        <v>45750</v>
      </c>
      <c r="D178" s="166">
        <f t="shared" si="61"/>
        <v>45771</v>
      </c>
      <c r="E178" s="1" t="s">
        <v>58</v>
      </c>
      <c r="F178" s="88">
        <v>9</v>
      </c>
      <c r="G178" s="152">
        <v>0</v>
      </c>
      <c r="H178" s="153">
        <f t="shared" si="50"/>
        <v>1862.5628195437541</v>
      </c>
      <c r="I178" s="153">
        <f t="shared" si="48"/>
        <v>1662.2202268543867</v>
      </c>
      <c r="J178" s="104">
        <f t="shared" si="51"/>
        <v>0</v>
      </c>
      <c r="K178" s="154">
        <f t="shared" si="45"/>
        <v>0</v>
      </c>
      <c r="L178" s="155">
        <f>+J178-K178</f>
        <v>0</v>
      </c>
      <c r="M178" s="104">
        <f t="shared" si="52"/>
        <v>0</v>
      </c>
      <c r="N178" s="156">
        <f t="shared" si="53"/>
        <v>0</v>
      </c>
      <c r="O178" s="104">
        <f t="shared" si="54"/>
        <v>0</v>
      </c>
      <c r="P178" s="104">
        <f t="shared" si="55"/>
        <v>0</v>
      </c>
      <c r="Q178" s="104">
        <v>0</v>
      </c>
      <c r="R178" s="156">
        <f t="shared" si="56"/>
        <v>0</v>
      </c>
    </row>
    <row r="179" spans="1:18" x14ac:dyDescent="0.2">
      <c r="A179" s="88">
        <v>4</v>
      </c>
      <c r="B179" s="150">
        <f t="shared" si="49"/>
        <v>45748</v>
      </c>
      <c r="C179" s="166">
        <f t="shared" si="61"/>
        <v>45782</v>
      </c>
      <c r="D179" s="166">
        <f t="shared" si="61"/>
        <v>45803</v>
      </c>
      <c r="E179" s="1" t="s">
        <v>58</v>
      </c>
      <c r="F179" s="88">
        <v>9</v>
      </c>
      <c r="G179" s="152">
        <v>0</v>
      </c>
      <c r="H179" s="153">
        <f t="shared" si="50"/>
        <v>1862.5628195437541</v>
      </c>
      <c r="I179" s="153">
        <f t="shared" si="48"/>
        <v>1662.2202268543867</v>
      </c>
      <c r="J179" s="104">
        <f t="shared" si="51"/>
        <v>0</v>
      </c>
      <c r="K179" s="154">
        <f t="shared" si="45"/>
        <v>0</v>
      </c>
      <c r="L179" s="155">
        <f t="shared" ref="L179:L189" si="62">+J179-K179</f>
        <v>0</v>
      </c>
      <c r="M179" s="104">
        <f t="shared" si="52"/>
        <v>0</v>
      </c>
      <c r="N179" s="156">
        <f t="shared" si="53"/>
        <v>0</v>
      </c>
      <c r="O179" s="104">
        <f t="shared" si="54"/>
        <v>0</v>
      </c>
      <c r="P179" s="104">
        <f t="shared" si="55"/>
        <v>0</v>
      </c>
      <c r="Q179" s="104">
        <v>0</v>
      </c>
      <c r="R179" s="156">
        <f t="shared" si="56"/>
        <v>0</v>
      </c>
    </row>
    <row r="180" spans="1:18" x14ac:dyDescent="0.2">
      <c r="A180" s="88">
        <v>5</v>
      </c>
      <c r="B180" s="150">
        <f t="shared" si="49"/>
        <v>45778</v>
      </c>
      <c r="C180" s="166">
        <f t="shared" si="61"/>
        <v>45812</v>
      </c>
      <c r="D180" s="166">
        <f t="shared" si="61"/>
        <v>45832</v>
      </c>
      <c r="E180" s="1" t="s">
        <v>58</v>
      </c>
      <c r="F180" s="88">
        <v>9</v>
      </c>
      <c r="G180" s="152">
        <v>0</v>
      </c>
      <c r="H180" s="153">
        <f t="shared" si="50"/>
        <v>1862.5628195437541</v>
      </c>
      <c r="I180" s="153">
        <f t="shared" ref="I180:I211" si="63">$J$3</f>
        <v>1662.2202268543867</v>
      </c>
      <c r="J180" s="104">
        <f t="shared" si="51"/>
        <v>0</v>
      </c>
      <c r="K180" s="154">
        <f t="shared" si="45"/>
        <v>0</v>
      </c>
      <c r="L180" s="155">
        <f t="shared" si="62"/>
        <v>0</v>
      </c>
      <c r="M180" s="104">
        <f t="shared" si="52"/>
        <v>0</v>
      </c>
      <c r="N180" s="156">
        <f t="shared" si="53"/>
        <v>0</v>
      </c>
      <c r="O180" s="104">
        <f t="shared" si="54"/>
        <v>0</v>
      </c>
      <c r="P180" s="104">
        <f t="shared" si="55"/>
        <v>0</v>
      </c>
      <c r="Q180" s="104">
        <v>0</v>
      </c>
      <c r="R180" s="156">
        <f t="shared" si="56"/>
        <v>0</v>
      </c>
    </row>
    <row r="181" spans="1:18" x14ac:dyDescent="0.2">
      <c r="A181" s="88">
        <v>6</v>
      </c>
      <c r="B181" s="150">
        <f t="shared" si="49"/>
        <v>45809</v>
      </c>
      <c r="C181" s="166">
        <f t="shared" si="61"/>
        <v>45841</v>
      </c>
      <c r="D181" s="166">
        <f t="shared" si="61"/>
        <v>45862</v>
      </c>
      <c r="E181" s="1" t="s">
        <v>58</v>
      </c>
      <c r="F181" s="88">
        <v>9</v>
      </c>
      <c r="G181" s="152">
        <v>0</v>
      </c>
      <c r="H181" s="153">
        <f t="shared" si="50"/>
        <v>1862.5628195437541</v>
      </c>
      <c r="I181" s="153">
        <f t="shared" si="63"/>
        <v>1662.2202268543867</v>
      </c>
      <c r="J181" s="104">
        <f t="shared" si="51"/>
        <v>0</v>
      </c>
      <c r="K181" s="154">
        <f t="shared" si="45"/>
        <v>0</v>
      </c>
      <c r="L181" s="155">
        <f t="shared" si="62"/>
        <v>0</v>
      </c>
      <c r="M181" s="104">
        <f t="shared" si="52"/>
        <v>0</v>
      </c>
      <c r="N181" s="156">
        <f t="shared" si="53"/>
        <v>0</v>
      </c>
      <c r="O181" s="104">
        <f t="shared" si="54"/>
        <v>0</v>
      </c>
      <c r="P181" s="104">
        <f t="shared" si="55"/>
        <v>0</v>
      </c>
      <c r="Q181" s="104">
        <v>0</v>
      </c>
      <c r="R181" s="156">
        <f t="shared" si="56"/>
        <v>0</v>
      </c>
    </row>
    <row r="182" spans="1:18" x14ac:dyDescent="0.2">
      <c r="A182" s="88">
        <v>7</v>
      </c>
      <c r="B182" s="150">
        <f t="shared" si="49"/>
        <v>45839</v>
      </c>
      <c r="C182" s="166">
        <f t="shared" si="61"/>
        <v>45874</v>
      </c>
      <c r="D182" s="166">
        <f t="shared" si="61"/>
        <v>45894</v>
      </c>
      <c r="E182" s="1" t="s">
        <v>58</v>
      </c>
      <c r="F182" s="88">
        <v>9</v>
      </c>
      <c r="G182" s="152">
        <v>0</v>
      </c>
      <c r="H182" s="153">
        <f t="shared" si="50"/>
        <v>1862.5628195437541</v>
      </c>
      <c r="I182" s="153">
        <f t="shared" si="63"/>
        <v>1662.2202268543867</v>
      </c>
      <c r="J182" s="104">
        <f t="shared" si="51"/>
        <v>0</v>
      </c>
      <c r="K182" s="154">
        <f t="shared" si="45"/>
        <v>0</v>
      </c>
      <c r="L182" s="155">
        <f t="shared" si="62"/>
        <v>0</v>
      </c>
      <c r="M182" s="104">
        <f t="shared" si="52"/>
        <v>0</v>
      </c>
      <c r="N182" s="156">
        <f t="shared" si="53"/>
        <v>0</v>
      </c>
      <c r="O182" s="104">
        <f t="shared" si="54"/>
        <v>0</v>
      </c>
      <c r="P182" s="104">
        <f t="shared" si="55"/>
        <v>0</v>
      </c>
      <c r="Q182" s="104">
        <v>0</v>
      </c>
      <c r="R182" s="156">
        <f t="shared" si="56"/>
        <v>0</v>
      </c>
    </row>
    <row r="183" spans="1:18" x14ac:dyDescent="0.2">
      <c r="A183" s="88">
        <v>8</v>
      </c>
      <c r="B183" s="150">
        <f t="shared" si="49"/>
        <v>45870</v>
      </c>
      <c r="C183" s="166">
        <f t="shared" si="61"/>
        <v>45904</v>
      </c>
      <c r="D183" s="166">
        <f t="shared" si="61"/>
        <v>45924</v>
      </c>
      <c r="E183" s="1" t="s">
        <v>58</v>
      </c>
      <c r="F183" s="88">
        <v>9</v>
      </c>
      <c r="G183" s="152">
        <v>0</v>
      </c>
      <c r="H183" s="153">
        <f t="shared" si="50"/>
        <v>1862.5628195437541</v>
      </c>
      <c r="I183" s="153">
        <f t="shared" si="63"/>
        <v>1662.2202268543867</v>
      </c>
      <c r="J183" s="104">
        <f t="shared" si="51"/>
        <v>0</v>
      </c>
      <c r="K183" s="154">
        <f t="shared" si="45"/>
        <v>0</v>
      </c>
      <c r="L183" s="155">
        <f t="shared" si="62"/>
        <v>0</v>
      </c>
      <c r="M183" s="104">
        <f t="shared" si="52"/>
        <v>0</v>
      </c>
      <c r="N183" s="156">
        <f t="shared" si="53"/>
        <v>0</v>
      </c>
      <c r="O183" s="104">
        <f t="shared" si="54"/>
        <v>0</v>
      </c>
      <c r="P183" s="104">
        <f t="shared" si="55"/>
        <v>0</v>
      </c>
      <c r="Q183" s="104">
        <v>0</v>
      </c>
      <c r="R183" s="156">
        <f t="shared" si="56"/>
        <v>0</v>
      </c>
    </row>
    <row r="184" spans="1:18" x14ac:dyDescent="0.2">
      <c r="A184" s="88">
        <v>9</v>
      </c>
      <c r="B184" s="150">
        <f t="shared" si="49"/>
        <v>45901</v>
      </c>
      <c r="C184" s="166">
        <f t="shared" si="61"/>
        <v>45933</v>
      </c>
      <c r="D184" s="166">
        <f t="shared" si="61"/>
        <v>45954</v>
      </c>
      <c r="E184" s="1" t="s">
        <v>58</v>
      </c>
      <c r="F184" s="88">
        <v>9</v>
      </c>
      <c r="G184" s="152">
        <v>0</v>
      </c>
      <c r="H184" s="153">
        <f t="shared" si="50"/>
        <v>1862.5628195437541</v>
      </c>
      <c r="I184" s="153">
        <f t="shared" si="63"/>
        <v>1662.2202268543867</v>
      </c>
      <c r="J184" s="104">
        <f t="shared" si="51"/>
        <v>0</v>
      </c>
      <c r="K184" s="154">
        <f t="shared" si="45"/>
        <v>0</v>
      </c>
      <c r="L184" s="155">
        <f t="shared" si="62"/>
        <v>0</v>
      </c>
      <c r="M184" s="104">
        <f t="shared" si="52"/>
        <v>0</v>
      </c>
      <c r="N184" s="156">
        <f t="shared" si="53"/>
        <v>0</v>
      </c>
      <c r="O184" s="104">
        <f t="shared" si="54"/>
        <v>0</v>
      </c>
      <c r="P184" s="104">
        <f t="shared" si="55"/>
        <v>0</v>
      </c>
      <c r="Q184" s="104">
        <v>0</v>
      </c>
      <c r="R184" s="156">
        <f t="shared" si="56"/>
        <v>0</v>
      </c>
    </row>
    <row r="185" spans="1:18" x14ac:dyDescent="0.2">
      <c r="A185" s="88">
        <v>10</v>
      </c>
      <c r="B185" s="150">
        <f t="shared" si="49"/>
        <v>45931</v>
      </c>
      <c r="C185" s="166">
        <f t="shared" si="61"/>
        <v>45966</v>
      </c>
      <c r="D185" s="166">
        <f t="shared" si="61"/>
        <v>45985</v>
      </c>
      <c r="E185" s="1" t="s">
        <v>58</v>
      </c>
      <c r="F185" s="88">
        <v>9</v>
      </c>
      <c r="G185" s="152">
        <v>0</v>
      </c>
      <c r="H185" s="153">
        <f t="shared" si="50"/>
        <v>1862.5628195437541</v>
      </c>
      <c r="I185" s="153">
        <f t="shared" si="63"/>
        <v>1662.2202268543867</v>
      </c>
      <c r="J185" s="104">
        <f t="shared" si="51"/>
        <v>0</v>
      </c>
      <c r="K185" s="154">
        <f t="shared" si="45"/>
        <v>0</v>
      </c>
      <c r="L185" s="155">
        <f t="shared" si="62"/>
        <v>0</v>
      </c>
      <c r="M185" s="104">
        <f t="shared" si="52"/>
        <v>0</v>
      </c>
      <c r="N185" s="156">
        <f t="shared" si="53"/>
        <v>0</v>
      </c>
      <c r="O185" s="104">
        <f t="shared" si="54"/>
        <v>0</v>
      </c>
      <c r="P185" s="104">
        <f t="shared" si="55"/>
        <v>0</v>
      </c>
      <c r="Q185" s="104">
        <v>0</v>
      </c>
      <c r="R185" s="156">
        <f t="shared" si="56"/>
        <v>0</v>
      </c>
    </row>
    <row r="186" spans="1:18" x14ac:dyDescent="0.2">
      <c r="A186" s="88">
        <v>11</v>
      </c>
      <c r="B186" s="150">
        <f t="shared" si="49"/>
        <v>45962</v>
      </c>
      <c r="C186" s="166">
        <f t="shared" si="61"/>
        <v>45994</v>
      </c>
      <c r="D186" s="166">
        <f t="shared" si="61"/>
        <v>46015</v>
      </c>
      <c r="E186" s="1" t="s">
        <v>58</v>
      </c>
      <c r="F186" s="88">
        <v>9</v>
      </c>
      <c r="G186" s="152">
        <v>0</v>
      </c>
      <c r="H186" s="153">
        <f t="shared" si="50"/>
        <v>1862.5628195437541</v>
      </c>
      <c r="I186" s="153">
        <f t="shared" si="63"/>
        <v>1662.2202268543867</v>
      </c>
      <c r="J186" s="104">
        <f t="shared" si="51"/>
        <v>0</v>
      </c>
      <c r="K186" s="154">
        <f t="shared" si="45"/>
        <v>0</v>
      </c>
      <c r="L186" s="155">
        <f t="shared" si="62"/>
        <v>0</v>
      </c>
      <c r="M186" s="104">
        <f t="shared" si="52"/>
        <v>0</v>
      </c>
      <c r="N186" s="156">
        <f t="shared" si="53"/>
        <v>0</v>
      </c>
      <c r="O186" s="104">
        <f t="shared" si="54"/>
        <v>0</v>
      </c>
      <c r="P186" s="104">
        <f t="shared" si="55"/>
        <v>0</v>
      </c>
      <c r="Q186" s="104">
        <v>0</v>
      </c>
      <c r="R186" s="156">
        <f t="shared" si="56"/>
        <v>0</v>
      </c>
    </row>
    <row r="187" spans="1:18" s="170" customFormat="1" x14ac:dyDescent="0.2">
      <c r="A187" s="88">
        <v>12</v>
      </c>
      <c r="B187" s="168">
        <f t="shared" si="49"/>
        <v>45992</v>
      </c>
      <c r="C187" s="166">
        <f t="shared" si="61"/>
        <v>46028</v>
      </c>
      <c r="D187" s="166">
        <f t="shared" si="61"/>
        <v>46048</v>
      </c>
      <c r="E187" s="169" t="s">
        <v>58</v>
      </c>
      <c r="F187" s="127">
        <v>9</v>
      </c>
      <c r="G187" s="212">
        <v>0</v>
      </c>
      <c r="H187" s="158">
        <f t="shared" si="50"/>
        <v>1862.5628195437541</v>
      </c>
      <c r="I187" s="158">
        <f t="shared" si="63"/>
        <v>1662.2202268543867</v>
      </c>
      <c r="J187" s="159">
        <f t="shared" si="51"/>
        <v>0</v>
      </c>
      <c r="K187" s="160">
        <f t="shared" si="45"/>
        <v>0</v>
      </c>
      <c r="L187" s="161">
        <f t="shared" si="62"/>
        <v>0</v>
      </c>
      <c r="M187" s="159">
        <f t="shared" si="52"/>
        <v>0</v>
      </c>
      <c r="N187" s="213">
        <f t="shared" si="53"/>
        <v>0</v>
      </c>
      <c r="O187" s="159">
        <f t="shared" si="54"/>
        <v>0</v>
      </c>
      <c r="P187" s="159">
        <f t="shared" si="55"/>
        <v>0</v>
      </c>
      <c r="Q187" s="159">
        <v>0</v>
      </c>
      <c r="R187" s="213">
        <f t="shared" si="56"/>
        <v>0</v>
      </c>
    </row>
    <row r="188" spans="1:18" x14ac:dyDescent="0.2">
      <c r="A188" s="88">
        <v>1</v>
      </c>
      <c r="B188" s="150">
        <f t="shared" si="49"/>
        <v>45658</v>
      </c>
      <c r="C188" s="163">
        <f t="shared" ref="C188:D211" si="64">+C176</f>
        <v>45693</v>
      </c>
      <c r="D188" s="163">
        <f t="shared" si="64"/>
        <v>45712</v>
      </c>
      <c r="E188" s="151" t="s">
        <v>59</v>
      </c>
      <c r="F188" s="88">
        <v>9</v>
      </c>
      <c r="G188" s="152">
        <v>37</v>
      </c>
      <c r="H188" s="153">
        <f t="shared" si="50"/>
        <v>1862.5628195437541</v>
      </c>
      <c r="I188" s="153">
        <f t="shared" si="63"/>
        <v>1662.2202268543867</v>
      </c>
      <c r="J188" s="104">
        <f t="shared" si="51"/>
        <v>61502.148393612311</v>
      </c>
      <c r="K188" s="154">
        <f t="shared" si="45"/>
        <v>68914.824323118897</v>
      </c>
      <c r="L188" s="155">
        <f t="shared" si="62"/>
        <v>-7412.6759295065858</v>
      </c>
      <c r="M188" s="104">
        <f t="shared" si="52"/>
        <v>-530.7584604004586</v>
      </c>
      <c r="N188" s="156">
        <f t="shared" si="53"/>
        <v>-7943.4343899070445</v>
      </c>
      <c r="O188" s="104">
        <f t="shared" si="54"/>
        <v>0</v>
      </c>
      <c r="P188" s="104">
        <f t="shared" si="55"/>
        <v>0</v>
      </c>
      <c r="Q188" s="104">
        <v>0</v>
      </c>
      <c r="R188" s="156">
        <f t="shared" si="56"/>
        <v>-7943.4343899070445</v>
      </c>
    </row>
    <row r="189" spans="1:18" x14ac:dyDescent="0.2">
      <c r="A189" s="88">
        <v>2</v>
      </c>
      <c r="B189" s="150">
        <f t="shared" si="49"/>
        <v>45689</v>
      </c>
      <c r="C189" s="166">
        <f t="shared" si="64"/>
        <v>45721</v>
      </c>
      <c r="D189" s="166">
        <f t="shared" si="64"/>
        <v>45740</v>
      </c>
      <c r="E189" s="157" t="s">
        <v>59</v>
      </c>
      <c r="F189" s="88">
        <v>9</v>
      </c>
      <c r="G189" s="152">
        <v>42</v>
      </c>
      <c r="H189" s="153">
        <f t="shared" si="50"/>
        <v>1862.5628195437541</v>
      </c>
      <c r="I189" s="153">
        <f t="shared" si="63"/>
        <v>1662.2202268543867</v>
      </c>
      <c r="J189" s="104">
        <f t="shared" si="51"/>
        <v>69813.24952788424</v>
      </c>
      <c r="K189" s="154">
        <f t="shared" si="45"/>
        <v>78227.638420837669</v>
      </c>
      <c r="L189" s="155">
        <f t="shared" si="62"/>
        <v>-8414.3888929534296</v>
      </c>
      <c r="M189" s="104">
        <f t="shared" si="52"/>
        <v>-602.48257667079076</v>
      </c>
      <c r="N189" s="156">
        <f t="shared" si="53"/>
        <v>-9016.8714696242205</v>
      </c>
      <c r="O189" s="104">
        <f t="shared" si="54"/>
        <v>0</v>
      </c>
      <c r="P189" s="104">
        <f t="shared" si="55"/>
        <v>0</v>
      </c>
      <c r="Q189" s="104">
        <v>0</v>
      </c>
      <c r="R189" s="156">
        <f t="shared" si="56"/>
        <v>-9016.8714696242205</v>
      </c>
    </row>
    <row r="190" spans="1:18" x14ac:dyDescent="0.2">
      <c r="A190" s="88">
        <v>3</v>
      </c>
      <c r="B190" s="150">
        <f t="shared" si="49"/>
        <v>45717</v>
      </c>
      <c r="C190" s="166">
        <f t="shared" si="64"/>
        <v>45750</v>
      </c>
      <c r="D190" s="166">
        <f t="shared" si="64"/>
        <v>45771</v>
      </c>
      <c r="E190" s="157" t="s">
        <v>59</v>
      </c>
      <c r="F190" s="88">
        <v>9</v>
      </c>
      <c r="G190" s="152">
        <v>30</v>
      </c>
      <c r="H190" s="153">
        <f t="shared" si="50"/>
        <v>1862.5628195437541</v>
      </c>
      <c r="I190" s="153">
        <f t="shared" si="63"/>
        <v>1662.2202268543867</v>
      </c>
      <c r="J190" s="104">
        <f t="shared" si="51"/>
        <v>49866.6068056316</v>
      </c>
      <c r="K190" s="154">
        <f t="shared" si="45"/>
        <v>55876.884586312626</v>
      </c>
      <c r="L190" s="155">
        <f>+J190-K190</f>
        <v>-6010.2777806810263</v>
      </c>
      <c r="M190" s="104">
        <f t="shared" si="52"/>
        <v>-430.34469762199342</v>
      </c>
      <c r="N190" s="156">
        <f t="shared" si="53"/>
        <v>-6440.6224783030193</v>
      </c>
      <c r="O190" s="104">
        <f t="shared" si="54"/>
        <v>0</v>
      </c>
      <c r="P190" s="104">
        <f t="shared" si="55"/>
        <v>0</v>
      </c>
      <c r="Q190" s="104">
        <v>0</v>
      </c>
      <c r="R190" s="156">
        <f t="shared" si="56"/>
        <v>-6440.6224783030193</v>
      </c>
    </row>
    <row r="191" spans="1:18" x14ac:dyDescent="0.2">
      <c r="A191" s="88">
        <v>4</v>
      </c>
      <c r="B191" s="150">
        <f t="shared" si="49"/>
        <v>45748</v>
      </c>
      <c r="C191" s="166">
        <f t="shared" si="64"/>
        <v>45782</v>
      </c>
      <c r="D191" s="166">
        <f t="shared" si="64"/>
        <v>45803</v>
      </c>
      <c r="E191" s="1" t="s">
        <v>59</v>
      </c>
      <c r="F191" s="88">
        <v>9</v>
      </c>
      <c r="G191" s="152">
        <v>32</v>
      </c>
      <c r="H191" s="153">
        <f t="shared" si="50"/>
        <v>1862.5628195437541</v>
      </c>
      <c r="I191" s="153">
        <f t="shared" si="63"/>
        <v>1662.2202268543867</v>
      </c>
      <c r="J191" s="104">
        <f t="shared" si="51"/>
        <v>53191.047259340376</v>
      </c>
      <c r="K191" s="154">
        <f t="shared" si="45"/>
        <v>59602.010225400132</v>
      </c>
      <c r="L191" s="155">
        <f t="shared" ref="L191:L201" si="65">+J191-K191</f>
        <v>-6410.9629660597566</v>
      </c>
      <c r="M191" s="104">
        <f t="shared" si="52"/>
        <v>-459.03434413012633</v>
      </c>
      <c r="N191" s="156">
        <f t="shared" si="53"/>
        <v>-6869.9973101898831</v>
      </c>
      <c r="O191" s="104">
        <f t="shared" si="54"/>
        <v>0</v>
      </c>
      <c r="P191" s="104">
        <f t="shared" si="55"/>
        <v>0</v>
      </c>
      <c r="Q191" s="104">
        <v>0</v>
      </c>
      <c r="R191" s="156">
        <f t="shared" si="56"/>
        <v>-6869.9973101898831</v>
      </c>
    </row>
    <row r="192" spans="1:18" x14ac:dyDescent="0.2">
      <c r="A192" s="88">
        <v>5</v>
      </c>
      <c r="B192" s="150">
        <f t="shared" si="49"/>
        <v>45778</v>
      </c>
      <c r="C192" s="166">
        <f t="shared" si="64"/>
        <v>45812</v>
      </c>
      <c r="D192" s="166">
        <f t="shared" si="64"/>
        <v>45832</v>
      </c>
      <c r="E192" s="1" t="s">
        <v>59</v>
      </c>
      <c r="F192" s="88">
        <v>9</v>
      </c>
      <c r="G192" s="152">
        <v>39</v>
      </c>
      <c r="H192" s="153">
        <f t="shared" si="50"/>
        <v>1862.5628195437541</v>
      </c>
      <c r="I192" s="153">
        <f t="shared" si="63"/>
        <v>1662.2202268543867</v>
      </c>
      <c r="J192" s="104">
        <f t="shared" si="51"/>
        <v>64826.58884732108</v>
      </c>
      <c r="K192" s="154">
        <f t="shared" si="45"/>
        <v>72639.949962206418</v>
      </c>
      <c r="L192" s="155">
        <f t="shared" si="65"/>
        <v>-7813.3611148853379</v>
      </c>
      <c r="M192" s="104">
        <f t="shared" si="52"/>
        <v>-559.44810690859151</v>
      </c>
      <c r="N192" s="156">
        <f t="shared" si="53"/>
        <v>-8372.8092217939302</v>
      </c>
      <c r="O192" s="104">
        <f t="shared" si="54"/>
        <v>0</v>
      </c>
      <c r="P192" s="104">
        <f t="shared" si="55"/>
        <v>0</v>
      </c>
      <c r="Q192" s="104">
        <v>0</v>
      </c>
      <c r="R192" s="156">
        <f t="shared" si="56"/>
        <v>-8372.8092217939302</v>
      </c>
    </row>
    <row r="193" spans="1:18" x14ac:dyDescent="0.2">
      <c r="A193" s="88">
        <v>6</v>
      </c>
      <c r="B193" s="150">
        <f t="shared" si="49"/>
        <v>45809</v>
      </c>
      <c r="C193" s="166">
        <f t="shared" si="64"/>
        <v>45841</v>
      </c>
      <c r="D193" s="166">
        <f t="shared" si="64"/>
        <v>45862</v>
      </c>
      <c r="E193" s="1" t="s">
        <v>59</v>
      </c>
      <c r="F193" s="88">
        <v>9</v>
      </c>
      <c r="G193" s="152">
        <v>47</v>
      </c>
      <c r="H193" s="153">
        <f t="shared" si="50"/>
        <v>1862.5628195437541</v>
      </c>
      <c r="I193" s="153">
        <f t="shared" si="63"/>
        <v>1662.2202268543867</v>
      </c>
      <c r="J193" s="104">
        <f t="shared" si="51"/>
        <v>78124.350662156183</v>
      </c>
      <c r="K193" s="154">
        <f t="shared" si="45"/>
        <v>87540.452518556442</v>
      </c>
      <c r="L193" s="155">
        <f t="shared" si="65"/>
        <v>-9416.1018564002588</v>
      </c>
      <c r="M193" s="104">
        <f t="shared" si="52"/>
        <v>-674.20669294112304</v>
      </c>
      <c r="N193" s="156">
        <f t="shared" si="53"/>
        <v>-10090.308549341382</v>
      </c>
      <c r="O193" s="104">
        <f t="shared" si="54"/>
        <v>0</v>
      </c>
      <c r="P193" s="104">
        <f t="shared" si="55"/>
        <v>0</v>
      </c>
      <c r="Q193" s="104">
        <v>0</v>
      </c>
      <c r="R193" s="156">
        <f t="shared" si="56"/>
        <v>-10090.308549341382</v>
      </c>
    </row>
    <row r="194" spans="1:18" x14ac:dyDescent="0.2">
      <c r="A194" s="88">
        <v>7</v>
      </c>
      <c r="B194" s="150">
        <f t="shared" si="49"/>
        <v>45839</v>
      </c>
      <c r="C194" s="166">
        <f t="shared" si="64"/>
        <v>45874</v>
      </c>
      <c r="D194" s="166">
        <f t="shared" si="64"/>
        <v>45894</v>
      </c>
      <c r="E194" s="1" t="s">
        <v>59</v>
      </c>
      <c r="F194" s="88">
        <v>9</v>
      </c>
      <c r="G194" s="152">
        <v>53</v>
      </c>
      <c r="H194" s="153">
        <f t="shared" si="50"/>
        <v>1862.5628195437541</v>
      </c>
      <c r="I194" s="153">
        <f t="shared" si="63"/>
        <v>1662.2202268543867</v>
      </c>
      <c r="J194" s="104">
        <f t="shared" si="51"/>
        <v>88097.672023282503</v>
      </c>
      <c r="K194" s="154">
        <f t="shared" si="45"/>
        <v>98715.829435818974</v>
      </c>
      <c r="L194" s="155">
        <f t="shared" si="65"/>
        <v>-10618.157412536471</v>
      </c>
      <c r="M194" s="104">
        <f t="shared" si="52"/>
        <v>-760.27563246552177</v>
      </c>
      <c r="N194" s="156">
        <f t="shared" si="53"/>
        <v>-11378.433045001993</v>
      </c>
      <c r="O194" s="104">
        <f t="shared" si="54"/>
        <v>0</v>
      </c>
      <c r="P194" s="104">
        <f t="shared" si="55"/>
        <v>0</v>
      </c>
      <c r="Q194" s="104">
        <v>0</v>
      </c>
      <c r="R194" s="156">
        <f t="shared" si="56"/>
        <v>-11378.433045001993</v>
      </c>
    </row>
    <row r="195" spans="1:18" x14ac:dyDescent="0.2">
      <c r="A195" s="88">
        <v>8</v>
      </c>
      <c r="B195" s="150">
        <f t="shared" si="49"/>
        <v>45870</v>
      </c>
      <c r="C195" s="166">
        <f t="shared" si="64"/>
        <v>45904</v>
      </c>
      <c r="D195" s="166">
        <f t="shared" si="64"/>
        <v>45924</v>
      </c>
      <c r="E195" s="1" t="s">
        <v>59</v>
      </c>
      <c r="F195" s="88">
        <v>9</v>
      </c>
      <c r="G195" s="152">
        <v>52</v>
      </c>
      <c r="H195" s="153">
        <f t="shared" si="50"/>
        <v>1862.5628195437541</v>
      </c>
      <c r="I195" s="153">
        <f t="shared" si="63"/>
        <v>1662.2202268543867</v>
      </c>
      <c r="J195" s="104">
        <f t="shared" si="51"/>
        <v>86435.451796428111</v>
      </c>
      <c r="K195" s="154">
        <f t="shared" si="45"/>
        <v>96853.266616275214</v>
      </c>
      <c r="L195" s="155">
        <f t="shared" si="65"/>
        <v>-10417.814819847103</v>
      </c>
      <c r="M195" s="104">
        <f t="shared" si="52"/>
        <v>-745.93080921145531</v>
      </c>
      <c r="N195" s="156">
        <f t="shared" si="53"/>
        <v>-11163.745629058558</v>
      </c>
      <c r="O195" s="104">
        <f t="shared" si="54"/>
        <v>0</v>
      </c>
      <c r="P195" s="104">
        <f t="shared" si="55"/>
        <v>0</v>
      </c>
      <c r="Q195" s="104">
        <v>0</v>
      </c>
      <c r="R195" s="156">
        <f t="shared" si="56"/>
        <v>-11163.745629058558</v>
      </c>
    </row>
    <row r="196" spans="1:18" x14ac:dyDescent="0.2">
      <c r="A196" s="88">
        <v>9</v>
      </c>
      <c r="B196" s="150">
        <f t="shared" si="49"/>
        <v>45901</v>
      </c>
      <c r="C196" s="166">
        <f t="shared" si="64"/>
        <v>45933</v>
      </c>
      <c r="D196" s="166">
        <f t="shared" si="64"/>
        <v>45954</v>
      </c>
      <c r="E196" s="1" t="s">
        <v>59</v>
      </c>
      <c r="F196" s="88">
        <v>9</v>
      </c>
      <c r="G196" s="152">
        <v>45</v>
      </c>
      <c r="H196" s="153">
        <f t="shared" si="50"/>
        <v>1862.5628195437541</v>
      </c>
      <c r="I196" s="153">
        <f t="shared" si="63"/>
        <v>1662.2202268543867</v>
      </c>
      <c r="J196" s="104">
        <f t="shared" si="51"/>
        <v>74799.9102084474</v>
      </c>
      <c r="K196" s="154">
        <f t="shared" si="45"/>
        <v>83815.326879468936</v>
      </c>
      <c r="L196" s="155">
        <f t="shared" si="65"/>
        <v>-9015.4166710215359</v>
      </c>
      <c r="M196" s="104">
        <f t="shared" si="52"/>
        <v>-645.51704643299013</v>
      </c>
      <c r="N196" s="156">
        <f t="shared" si="53"/>
        <v>-9660.9337174545253</v>
      </c>
      <c r="O196" s="104">
        <f t="shared" si="54"/>
        <v>0</v>
      </c>
      <c r="P196" s="104">
        <f t="shared" si="55"/>
        <v>0</v>
      </c>
      <c r="Q196" s="104">
        <v>0</v>
      </c>
      <c r="R196" s="156">
        <f t="shared" si="56"/>
        <v>-9660.9337174545253</v>
      </c>
    </row>
    <row r="197" spans="1:18" x14ac:dyDescent="0.2">
      <c r="A197" s="88">
        <v>10</v>
      </c>
      <c r="B197" s="150">
        <f t="shared" si="49"/>
        <v>45931</v>
      </c>
      <c r="C197" s="166">
        <f t="shared" si="64"/>
        <v>45966</v>
      </c>
      <c r="D197" s="166">
        <f t="shared" si="64"/>
        <v>45985</v>
      </c>
      <c r="E197" s="1" t="s">
        <v>59</v>
      </c>
      <c r="F197" s="88">
        <v>9</v>
      </c>
      <c r="G197" s="152">
        <v>41</v>
      </c>
      <c r="H197" s="153">
        <f t="shared" si="50"/>
        <v>1862.5628195437541</v>
      </c>
      <c r="I197" s="153">
        <f t="shared" si="63"/>
        <v>1662.2202268543867</v>
      </c>
      <c r="J197" s="104">
        <f t="shared" si="51"/>
        <v>68151.029301029863</v>
      </c>
      <c r="K197" s="154">
        <f t="shared" si="45"/>
        <v>76365.075601293924</v>
      </c>
      <c r="L197" s="155">
        <f t="shared" si="65"/>
        <v>-8214.0463002640608</v>
      </c>
      <c r="M197" s="104">
        <f t="shared" si="52"/>
        <v>-588.13775341672442</v>
      </c>
      <c r="N197" s="156">
        <f t="shared" si="53"/>
        <v>-8802.1840536807849</v>
      </c>
      <c r="O197" s="104">
        <f t="shared" si="54"/>
        <v>0</v>
      </c>
      <c r="P197" s="104">
        <f t="shared" si="55"/>
        <v>0</v>
      </c>
      <c r="Q197" s="104">
        <v>0</v>
      </c>
      <c r="R197" s="156">
        <f t="shared" si="56"/>
        <v>-8802.1840536807849</v>
      </c>
    </row>
    <row r="198" spans="1:18" x14ac:dyDescent="0.2">
      <c r="A198" s="88">
        <v>11</v>
      </c>
      <c r="B198" s="150">
        <f t="shared" si="49"/>
        <v>45962</v>
      </c>
      <c r="C198" s="166">
        <f t="shared" si="64"/>
        <v>45994</v>
      </c>
      <c r="D198" s="166">
        <f t="shared" si="64"/>
        <v>46015</v>
      </c>
      <c r="E198" s="1" t="s">
        <v>59</v>
      </c>
      <c r="F198" s="88">
        <v>9</v>
      </c>
      <c r="G198" s="152">
        <v>29</v>
      </c>
      <c r="H198" s="153">
        <f t="shared" si="50"/>
        <v>1862.5628195437541</v>
      </c>
      <c r="I198" s="153">
        <f t="shared" si="63"/>
        <v>1662.2202268543867</v>
      </c>
      <c r="J198" s="104">
        <f t="shared" si="51"/>
        <v>48204.386578777216</v>
      </c>
      <c r="K198" s="154">
        <f t="shared" ref="K198:K209" si="66">+$G198*H198</f>
        <v>54014.321766768873</v>
      </c>
      <c r="L198" s="155">
        <f t="shared" si="65"/>
        <v>-5809.9351879916576</v>
      </c>
      <c r="M198" s="104">
        <f t="shared" si="52"/>
        <v>-415.99987436792702</v>
      </c>
      <c r="N198" s="156">
        <f t="shared" si="53"/>
        <v>-6225.9350623595847</v>
      </c>
      <c r="O198" s="104">
        <f t="shared" si="54"/>
        <v>0</v>
      </c>
      <c r="P198" s="104">
        <f t="shared" si="55"/>
        <v>0</v>
      </c>
      <c r="Q198" s="104">
        <v>0</v>
      </c>
      <c r="R198" s="156">
        <f t="shared" si="56"/>
        <v>-6225.9350623595847</v>
      </c>
    </row>
    <row r="199" spans="1:18" s="170" customFormat="1" x14ac:dyDescent="0.2">
      <c r="A199" s="88">
        <v>12</v>
      </c>
      <c r="B199" s="168">
        <f t="shared" si="49"/>
        <v>45992</v>
      </c>
      <c r="C199" s="166">
        <f t="shared" si="64"/>
        <v>46028</v>
      </c>
      <c r="D199" s="166">
        <f t="shared" si="64"/>
        <v>46048</v>
      </c>
      <c r="E199" s="169" t="s">
        <v>59</v>
      </c>
      <c r="F199" s="127">
        <v>9</v>
      </c>
      <c r="G199" s="212">
        <v>36</v>
      </c>
      <c r="H199" s="158">
        <f t="shared" si="50"/>
        <v>1862.5628195437541</v>
      </c>
      <c r="I199" s="158">
        <f t="shared" si="63"/>
        <v>1662.2202268543867</v>
      </c>
      <c r="J199" s="159">
        <f t="shared" si="51"/>
        <v>59839.92816675792</v>
      </c>
      <c r="K199" s="160">
        <f t="shared" si="66"/>
        <v>67052.261503575151</v>
      </c>
      <c r="L199" s="161">
        <f t="shared" si="65"/>
        <v>-7212.3333368172316</v>
      </c>
      <c r="M199" s="159">
        <f t="shared" si="52"/>
        <v>-516.41363714639215</v>
      </c>
      <c r="N199" s="213">
        <f t="shared" si="53"/>
        <v>-7728.7469739636235</v>
      </c>
      <c r="O199" s="159">
        <f t="shared" si="54"/>
        <v>0</v>
      </c>
      <c r="P199" s="159">
        <f t="shared" si="55"/>
        <v>0</v>
      </c>
      <c r="Q199" s="159">
        <v>0</v>
      </c>
      <c r="R199" s="213">
        <f t="shared" si="56"/>
        <v>-7728.7469739636235</v>
      </c>
    </row>
    <row r="200" spans="1:18" x14ac:dyDescent="0.2">
      <c r="A200" s="88">
        <v>1</v>
      </c>
      <c r="B200" s="150">
        <f t="shared" si="49"/>
        <v>45658</v>
      </c>
      <c r="C200" s="163">
        <f t="shared" si="64"/>
        <v>45693</v>
      </c>
      <c r="D200" s="163">
        <f t="shared" si="64"/>
        <v>45712</v>
      </c>
      <c r="E200" s="151" t="s">
        <v>17</v>
      </c>
      <c r="F200" s="88">
        <v>9</v>
      </c>
      <c r="G200" s="152">
        <v>106</v>
      </c>
      <c r="H200" s="153">
        <f t="shared" si="50"/>
        <v>1862.5628195437541</v>
      </c>
      <c r="I200" s="153">
        <f t="shared" si="63"/>
        <v>1662.2202268543867</v>
      </c>
      <c r="J200" s="104">
        <f t="shared" si="51"/>
        <v>176195.34404656501</v>
      </c>
      <c r="K200" s="154">
        <f t="shared" si="66"/>
        <v>197431.65887163795</v>
      </c>
      <c r="L200" s="155">
        <f t="shared" si="65"/>
        <v>-21236.314825072943</v>
      </c>
      <c r="M200" s="104">
        <f t="shared" si="52"/>
        <v>-1520.5512649310435</v>
      </c>
      <c r="N200" s="156">
        <f t="shared" si="53"/>
        <v>-22756.866090003987</v>
      </c>
      <c r="O200" s="104">
        <f t="shared" si="54"/>
        <v>0</v>
      </c>
      <c r="P200" s="104">
        <f t="shared" si="55"/>
        <v>0</v>
      </c>
      <c r="Q200" s="104">
        <v>0</v>
      </c>
      <c r="R200" s="156">
        <f t="shared" si="56"/>
        <v>-22756.866090003987</v>
      </c>
    </row>
    <row r="201" spans="1:18" x14ac:dyDescent="0.2">
      <c r="A201" s="88">
        <v>2</v>
      </c>
      <c r="B201" s="150">
        <f t="shared" si="49"/>
        <v>45689</v>
      </c>
      <c r="C201" s="166">
        <f t="shared" si="64"/>
        <v>45721</v>
      </c>
      <c r="D201" s="166">
        <f t="shared" si="64"/>
        <v>45740</v>
      </c>
      <c r="E201" s="157" t="s">
        <v>17</v>
      </c>
      <c r="F201" s="88">
        <v>9</v>
      </c>
      <c r="G201" s="152">
        <v>102</v>
      </c>
      <c r="H201" s="153">
        <f t="shared" si="50"/>
        <v>1862.5628195437541</v>
      </c>
      <c r="I201" s="153">
        <f t="shared" si="63"/>
        <v>1662.2202268543867</v>
      </c>
      <c r="J201" s="104">
        <f t="shared" si="51"/>
        <v>169546.46313914744</v>
      </c>
      <c r="K201" s="154">
        <f t="shared" si="66"/>
        <v>189981.40759346291</v>
      </c>
      <c r="L201" s="155">
        <f t="shared" si="65"/>
        <v>-20434.944454315468</v>
      </c>
      <c r="M201" s="104">
        <f t="shared" si="52"/>
        <v>-1463.1719719147777</v>
      </c>
      <c r="N201" s="156">
        <f t="shared" si="53"/>
        <v>-21898.116426230245</v>
      </c>
      <c r="O201" s="104">
        <f t="shared" si="54"/>
        <v>0</v>
      </c>
      <c r="P201" s="104">
        <f t="shared" si="55"/>
        <v>0</v>
      </c>
      <c r="Q201" s="104">
        <v>0</v>
      </c>
      <c r="R201" s="156">
        <f t="shared" si="56"/>
        <v>-21898.116426230245</v>
      </c>
    </row>
    <row r="202" spans="1:18" x14ac:dyDescent="0.2">
      <c r="A202" s="88">
        <v>3</v>
      </c>
      <c r="B202" s="150">
        <f t="shared" si="49"/>
        <v>45717</v>
      </c>
      <c r="C202" s="166">
        <f t="shared" si="64"/>
        <v>45750</v>
      </c>
      <c r="D202" s="166">
        <f t="shared" si="64"/>
        <v>45771</v>
      </c>
      <c r="E202" s="157" t="s">
        <v>17</v>
      </c>
      <c r="F202" s="88">
        <v>9</v>
      </c>
      <c r="G202" s="152">
        <v>100</v>
      </c>
      <c r="H202" s="153">
        <f t="shared" si="50"/>
        <v>1862.5628195437541</v>
      </c>
      <c r="I202" s="153">
        <f t="shared" si="63"/>
        <v>1662.2202268543867</v>
      </c>
      <c r="J202" s="104">
        <f t="shared" si="51"/>
        <v>166222.02268543869</v>
      </c>
      <c r="K202" s="154">
        <f t="shared" si="66"/>
        <v>186256.28195437542</v>
      </c>
      <c r="L202" s="155">
        <f>+J202-K202</f>
        <v>-20034.25926893673</v>
      </c>
      <c r="M202" s="104">
        <f t="shared" si="52"/>
        <v>-1434.4823254066448</v>
      </c>
      <c r="N202" s="156">
        <f t="shared" si="53"/>
        <v>-21468.741594343373</v>
      </c>
      <c r="O202" s="104">
        <f t="shared" si="54"/>
        <v>0</v>
      </c>
      <c r="P202" s="104">
        <f t="shared" si="55"/>
        <v>0</v>
      </c>
      <c r="Q202" s="104">
        <v>0</v>
      </c>
      <c r="R202" s="156">
        <f t="shared" si="56"/>
        <v>-21468.741594343373</v>
      </c>
    </row>
    <row r="203" spans="1:18" x14ac:dyDescent="0.2">
      <c r="A203" s="88">
        <v>4</v>
      </c>
      <c r="B203" s="150">
        <f t="shared" si="49"/>
        <v>45748</v>
      </c>
      <c r="C203" s="166">
        <f t="shared" si="64"/>
        <v>45782</v>
      </c>
      <c r="D203" s="166">
        <f t="shared" si="64"/>
        <v>45803</v>
      </c>
      <c r="E203" s="157" t="s">
        <v>17</v>
      </c>
      <c r="F203" s="88">
        <v>9</v>
      </c>
      <c r="G203" s="152">
        <v>60</v>
      </c>
      <c r="H203" s="153">
        <f t="shared" si="50"/>
        <v>1862.5628195437541</v>
      </c>
      <c r="I203" s="153">
        <f t="shared" si="63"/>
        <v>1662.2202268543867</v>
      </c>
      <c r="J203" s="104">
        <f t="shared" si="51"/>
        <v>99733.2136112632</v>
      </c>
      <c r="K203" s="154">
        <f t="shared" si="66"/>
        <v>111753.76917262525</v>
      </c>
      <c r="L203" s="155">
        <f t="shared" ref="L203:L211" si="67">+J203-K203</f>
        <v>-12020.555561362053</v>
      </c>
      <c r="M203" s="104">
        <f t="shared" si="52"/>
        <v>-860.68939524398684</v>
      </c>
      <c r="N203" s="156">
        <f t="shared" si="53"/>
        <v>-12881.244956606039</v>
      </c>
      <c r="O203" s="104">
        <f t="shared" si="54"/>
        <v>0</v>
      </c>
      <c r="P203" s="104">
        <f t="shared" si="55"/>
        <v>0</v>
      </c>
      <c r="Q203" s="104">
        <v>0</v>
      </c>
      <c r="R203" s="156">
        <f t="shared" si="56"/>
        <v>-12881.244956606039</v>
      </c>
    </row>
    <row r="204" spans="1:18" x14ac:dyDescent="0.2">
      <c r="A204" s="88">
        <v>5</v>
      </c>
      <c r="B204" s="150">
        <f t="shared" si="49"/>
        <v>45778</v>
      </c>
      <c r="C204" s="166">
        <f t="shared" si="64"/>
        <v>45812</v>
      </c>
      <c r="D204" s="166">
        <f t="shared" si="64"/>
        <v>45832</v>
      </c>
      <c r="E204" s="1" t="s">
        <v>17</v>
      </c>
      <c r="F204" s="88">
        <v>9</v>
      </c>
      <c r="G204" s="152">
        <v>96</v>
      </c>
      <c r="H204" s="153">
        <f t="shared" si="50"/>
        <v>1862.5628195437541</v>
      </c>
      <c r="I204" s="153">
        <f t="shared" si="63"/>
        <v>1662.2202268543867</v>
      </c>
      <c r="J204" s="104">
        <f t="shared" si="51"/>
        <v>159573.14177802112</v>
      </c>
      <c r="K204" s="154">
        <f t="shared" si="66"/>
        <v>178806.0306762004</v>
      </c>
      <c r="L204" s="155">
        <f t="shared" si="67"/>
        <v>-19232.888898179284</v>
      </c>
      <c r="M204" s="104">
        <f t="shared" si="52"/>
        <v>-1377.1030323903792</v>
      </c>
      <c r="N204" s="156">
        <f t="shared" si="53"/>
        <v>-20609.991930569664</v>
      </c>
      <c r="O204" s="104">
        <f t="shared" si="54"/>
        <v>0</v>
      </c>
      <c r="P204" s="104">
        <f t="shared" si="55"/>
        <v>0</v>
      </c>
      <c r="Q204" s="104">
        <v>0</v>
      </c>
      <c r="R204" s="156">
        <f t="shared" si="56"/>
        <v>-20609.991930569664</v>
      </c>
    </row>
    <row r="205" spans="1:18" x14ac:dyDescent="0.2">
      <c r="A205" s="88">
        <v>6</v>
      </c>
      <c r="B205" s="150">
        <f t="shared" si="49"/>
        <v>45809</v>
      </c>
      <c r="C205" s="166">
        <f t="shared" si="64"/>
        <v>45841</v>
      </c>
      <c r="D205" s="166">
        <f t="shared" si="64"/>
        <v>45862</v>
      </c>
      <c r="E205" s="1" t="s">
        <v>17</v>
      </c>
      <c r="F205" s="88">
        <v>9</v>
      </c>
      <c r="G205" s="152">
        <v>119</v>
      </c>
      <c r="H205" s="153">
        <f t="shared" si="50"/>
        <v>1862.5628195437541</v>
      </c>
      <c r="I205" s="153">
        <f t="shared" si="63"/>
        <v>1662.2202268543867</v>
      </c>
      <c r="J205" s="104">
        <f t="shared" si="51"/>
        <v>197804.20699567202</v>
      </c>
      <c r="K205" s="154">
        <f t="shared" si="66"/>
        <v>221644.97552570674</v>
      </c>
      <c r="L205" s="155">
        <f t="shared" si="67"/>
        <v>-23840.768530034722</v>
      </c>
      <c r="M205" s="104">
        <f t="shared" si="52"/>
        <v>-1707.0339672339071</v>
      </c>
      <c r="N205" s="156">
        <f t="shared" si="53"/>
        <v>-25547.802497268629</v>
      </c>
      <c r="O205" s="104">
        <f t="shared" si="54"/>
        <v>0</v>
      </c>
      <c r="P205" s="104">
        <f t="shared" si="55"/>
        <v>0</v>
      </c>
      <c r="Q205" s="104">
        <v>0</v>
      </c>
      <c r="R205" s="156">
        <f t="shared" si="56"/>
        <v>-25547.802497268629</v>
      </c>
    </row>
    <row r="206" spans="1:18" x14ac:dyDescent="0.2">
      <c r="A206" s="88">
        <v>7</v>
      </c>
      <c r="B206" s="150">
        <f t="shared" si="49"/>
        <v>45839</v>
      </c>
      <c r="C206" s="166">
        <f t="shared" si="64"/>
        <v>45874</v>
      </c>
      <c r="D206" s="166">
        <f t="shared" si="64"/>
        <v>45894</v>
      </c>
      <c r="E206" s="1" t="s">
        <v>17</v>
      </c>
      <c r="F206" s="88">
        <v>9</v>
      </c>
      <c r="G206" s="152">
        <v>118</v>
      </c>
      <c r="H206" s="153">
        <f t="shared" si="50"/>
        <v>1862.5628195437541</v>
      </c>
      <c r="I206" s="153">
        <f t="shared" si="63"/>
        <v>1662.2202268543867</v>
      </c>
      <c r="J206" s="104">
        <f t="shared" si="51"/>
        <v>196141.98676881765</v>
      </c>
      <c r="K206" s="154">
        <f t="shared" si="66"/>
        <v>219782.41270616298</v>
      </c>
      <c r="L206" s="155">
        <f t="shared" si="67"/>
        <v>-23640.425937345339</v>
      </c>
      <c r="M206" s="104">
        <f t="shared" si="52"/>
        <v>-1692.689143979841</v>
      </c>
      <c r="N206" s="156">
        <f t="shared" si="53"/>
        <v>-25333.115081325181</v>
      </c>
      <c r="O206" s="104">
        <f t="shared" si="54"/>
        <v>0</v>
      </c>
      <c r="P206" s="104">
        <f t="shared" si="55"/>
        <v>0</v>
      </c>
      <c r="Q206" s="104">
        <v>0</v>
      </c>
      <c r="R206" s="156">
        <f t="shared" si="56"/>
        <v>-25333.115081325181</v>
      </c>
    </row>
    <row r="207" spans="1:18" x14ac:dyDescent="0.2">
      <c r="A207" s="88">
        <v>8</v>
      </c>
      <c r="B207" s="150">
        <f t="shared" si="49"/>
        <v>45870</v>
      </c>
      <c r="C207" s="166">
        <f t="shared" si="64"/>
        <v>45904</v>
      </c>
      <c r="D207" s="166">
        <f t="shared" si="64"/>
        <v>45924</v>
      </c>
      <c r="E207" s="1" t="s">
        <v>17</v>
      </c>
      <c r="F207" s="88">
        <v>9</v>
      </c>
      <c r="G207" s="152">
        <v>119</v>
      </c>
      <c r="H207" s="153">
        <f t="shared" si="50"/>
        <v>1862.5628195437541</v>
      </c>
      <c r="I207" s="153">
        <f t="shared" si="63"/>
        <v>1662.2202268543867</v>
      </c>
      <c r="J207" s="104">
        <f t="shared" si="51"/>
        <v>197804.20699567202</v>
      </c>
      <c r="K207" s="154">
        <f t="shared" si="66"/>
        <v>221644.97552570674</v>
      </c>
      <c r="L207" s="155">
        <f t="shared" si="67"/>
        <v>-23840.768530034722</v>
      </c>
      <c r="M207" s="104">
        <f t="shared" si="52"/>
        <v>-1707.0339672339071</v>
      </c>
      <c r="N207" s="156">
        <f t="shared" si="53"/>
        <v>-25547.802497268629</v>
      </c>
      <c r="O207" s="104">
        <f t="shared" si="54"/>
        <v>0</v>
      </c>
      <c r="P207" s="104">
        <f t="shared" si="55"/>
        <v>0</v>
      </c>
      <c r="Q207" s="104">
        <v>0</v>
      </c>
      <c r="R207" s="156">
        <f t="shared" si="56"/>
        <v>-25547.802497268629</v>
      </c>
    </row>
    <row r="208" spans="1:18" x14ac:dyDescent="0.2">
      <c r="A208" s="88">
        <v>9</v>
      </c>
      <c r="B208" s="150">
        <f t="shared" si="49"/>
        <v>45901</v>
      </c>
      <c r="C208" s="166">
        <f t="shared" si="64"/>
        <v>45933</v>
      </c>
      <c r="D208" s="166">
        <f t="shared" si="64"/>
        <v>45954</v>
      </c>
      <c r="E208" s="1" t="s">
        <v>17</v>
      </c>
      <c r="F208" s="88">
        <v>9</v>
      </c>
      <c r="G208" s="152">
        <v>101</v>
      </c>
      <c r="H208" s="153">
        <f t="shared" si="50"/>
        <v>1862.5628195437541</v>
      </c>
      <c r="I208" s="153">
        <f t="shared" si="63"/>
        <v>1662.2202268543867</v>
      </c>
      <c r="J208" s="104">
        <f t="shared" si="51"/>
        <v>167884.24291229306</v>
      </c>
      <c r="K208" s="154">
        <f t="shared" si="66"/>
        <v>188118.84477391918</v>
      </c>
      <c r="L208" s="155">
        <f t="shared" si="67"/>
        <v>-20234.601861626114</v>
      </c>
      <c r="M208" s="104">
        <f t="shared" si="52"/>
        <v>-1448.8271486607111</v>
      </c>
      <c r="N208" s="156">
        <f t="shared" si="53"/>
        <v>-21683.429010286825</v>
      </c>
      <c r="O208" s="104">
        <f t="shared" si="54"/>
        <v>0</v>
      </c>
      <c r="P208" s="104">
        <f t="shared" si="55"/>
        <v>0</v>
      </c>
      <c r="Q208" s="104">
        <v>0</v>
      </c>
      <c r="R208" s="156">
        <f t="shared" si="56"/>
        <v>-21683.429010286825</v>
      </c>
    </row>
    <row r="209" spans="1:18" x14ac:dyDescent="0.2">
      <c r="A209" s="88">
        <v>10</v>
      </c>
      <c r="B209" s="150">
        <f t="shared" si="49"/>
        <v>45931</v>
      </c>
      <c r="C209" s="166">
        <f t="shared" si="64"/>
        <v>45966</v>
      </c>
      <c r="D209" s="166">
        <f t="shared" si="64"/>
        <v>45985</v>
      </c>
      <c r="E209" s="1" t="s">
        <v>17</v>
      </c>
      <c r="F209" s="88">
        <v>9</v>
      </c>
      <c r="G209" s="152">
        <v>106</v>
      </c>
      <c r="H209" s="153">
        <f t="shared" si="50"/>
        <v>1862.5628195437541</v>
      </c>
      <c r="I209" s="153">
        <f t="shared" si="63"/>
        <v>1662.2202268543867</v>
      </c>
      <c r="J209" s="104">
        <f t="shared" si="51"/>
        <v>176195.34404656501</v>
      </c>
      <c r="K209" s="154">
        <f t="shared" si="66"/>
        <v>197431.65887163795</v>
      </c>
      <c r="L209" s="155">
        <f t="shared" si="67"/>
        <v>-21236.314825072943</v>
      </c>
      <c r="M209" s="104">
        <f t="shared" si="52"/>
        <v>-1520.5512649310435</v>
      </c>
      <c r="N209" s="156">
        <f t="shared" si="53"/>
        <v>-22756.866090003987</v>
      </c>
      <c r="O209" s="104">
        <f t="shared" si="54"/>
        <v>0</v>
      </c>
      <c r="P209" s="104">
        <f t="shared" si="55"/>
        <v>0</v>
      </c>
      <c r="Q209" s="104">
        <v>0</v>
      </c>
      <c r="R209" s="156">
        <f t="shared" si="56"/>
        <v>-22756.866090003987</v>
      </c>
    </row>
    <row r="210" spans="1:18" x14ac:dyDescent="0.2">
      <c r="A210" s="88">
        <v>11</v>
      </c>
      <c r="B210" s="150">
        <f t="shared" si="49"/>
        <v>45962</v>
      </c>
      <c r="C210" s="166">
        <f t="shared" si="64"/>
        <v>45994</v>
      </c>
      <c r="D210" s="166">
        <f t="shared" si="64"/>
        <v>46015</v>
      </c>
      <c r="E210" s="1" t="s">
        <v>17</v>
      </c>
      <c r="F210" s="88">
        <v>9</v>
      </c>
      <c r="G210" s="152">
        <v>35</v>
      </c>
      <c r="H210" s="153">
        <f t="shared" si="50"/>
        <v>1862.5628195437541</v>
      </c>
      <c r="I210" s="153">
        <f t="shared" si="63"/>
        <v>1662.2202268543867</v>
      </c>
      <c r="J210" s="104">
        <f t="shared" si="51"/>
        <v>58177.707939903536</v>
      </c>
      <c r="K210" s="154">
        <f>+$G210*H210</f>
        <v>65189.698684031391</v>
      </c>
      <c r="L210" s="155">
        <f t="shared" si="67"/>
        <v>-7011.9907441278556</v>
      </c>
      <c r="M210" s="104">
        <f t="shared" si="52"/>
        <v>-502.06881389232569</v>
      </c>
      <c r="N210" s="156">
        <f t="shared" si="53"/>
        <v>-7514.0595580201816</v>
      </c>
      <c r="O210" s="104">
        <f t="shared" si="54"/>
        <v>0</v>
      </c>
      <c r="P210" s="104">
        <f t="shared" si="55"/>
        <v>0</v>
      </c>
      <c r="Q210" s="104">
        <v>0</v>
      </c>
      <c r="R210" s="156">
        <f t="shared" si="56"/>
        <v>-7514.0595580201816</v>
      </c>
    </row>
    <row r="211" spans="1:18" s="170" customFormat="1" x14ac:dyDescent="0.2">
      <c r="A211" s="88">
        <v>12</v>
      </c>
      <c r="B211" s="168">
        <f t="shared" si="49"/>
        <v>45992</v>
      </c>
      <c r="C211" s="171">
        <f t="shared" si="64"/>
        <v>46028</v>
      </c>
      <c r="D211" s="171">
        <f t="shared" si="64"/>
        <v>46048</v>
      </c>
      <c r="E211" s="169" t="s">
        <v>17</v>
      </c>
      <c r="F211" s="127">
        <v>9</v>
      </c>
      <c r="G211" s="212">
        <v>103</v>
      </c>
      <c r="H211" s="158">
        <f t="shared" si="50"/>
        <v>1862.5628195437541</v>
      </c>
      <c r="I211" s="158">
        <f t="shared" si="63"/>
        <v>1662.2202268543867</v>
      </c>
      <c r="J211" s="159">
        <f t="shared" si="51"/>
        <v>171208.68336600185</v>
      </c>
      <c r="K211" s="160">
        <f>+$G211*H211</f>
        <v>191843.97041300667</v>
      </c>
      <c r="L211" s="161">
        <f t="shared" si="67"/>
        <v>-20635.287047004822</v>
      </c>
      <c r="M211" s="159">
        <f t="shared" si="52"/>
        <v>-1477.5167951688443</v>
      </c>
      <c r="N211" s="213">
        <f t="shared" si="53"/>
        <v>-22112.803842173667</v>
      </c>
      <c r="O211" s="159">
        <f t="shared" si="54"/>
        <v>0</v>
      </c>
      <c r="P211" s="159">
        <f t="shared" si="55"/>
        <v>0</v>
      </c>
      <c r="Q211" s="159">
        <v>0</v>
      </c>
      <c r="R211" s="213">
        <f t="shared" si="56"/>
        <v>-22112.803842173667</v>
      </c>
    </row>
    <row r="212" spans="1:18" x14ac:dyDescent="0.2">
      <c r="G212" s="176">
        <f>SUM(G20:G211)</f>
        <v>105873</v>
      </c>
      <c r="H212" s="45"/>
      <c r="J212" s="45">
        <f>SUM(J20:J211)</f>
        <v>175984242.07775435</v>
      </c>
      <c r="K212" s="45">
        <f>SUM(K20:K211)</f>
        <v>197195113.39355576</v>
      </c>
      <c r="L212" s="45">
        <f>SUM(L20:L211)</f>
        <v>-21210871.315801408</v>
      </c>
      <c r="M212" s="45">
        <f>SUM(M20:M211)</f>
        <v>-1518729.4723777764</v>
      </c>
      <c r="N212" s="45"/>
      <c r="O212" s="45"/>
      <c r="P212" s="45">
        <f>SUM(P20:P211)</f>
        <v>0</v>
      </c>
      <c r="Q212" s="45"/>
      <c r="R212" s="177">
        <f>SUM(R20:R211)</f>
        <v>-22729600.788179174</v>
      </c>
    </row>
    <row r="213" spans="1:18" x14ac:dyDescent="0.2">
      <c r="P213" s="45"/>
      <c r="Q213" s="45"/>
    </row>
    <row r="220" spans="1:18" x14ac:dyDescent="0.2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3" fitToWidth="2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NjowNS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OToyMSBQTTwvRGF0ZVRpbWU+PExhYmVsU3RyaW5nPkFFUCBJbnRlcm5hbDwvTGFiZWxTdHJpbmc+PC9pdGVtPjwvbGFiZWxIaXN0b3J5Pg=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A9F01D38-AC4D-4AC2-B79A-FF12CE8D2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F2697C-8AA3-4853-90AC-D1EFBA06E9BE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445DD46F-B661-4CF0-881B-370B57EBEF5C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4.xml><?xml version="1.0" encoding="utf-8"?>
<ds:datastoreItem xmlns:ds="http://schemas.openxmlformats.org/officeDocument/2006/customXml" ds:itemID="{9D8BACE4-969D-4C12-A23A-8FAE217D862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72A08BF-D129-4052-96AB-265E0EB85E7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2025 NOLC Refund Detail</vt:lpstr>
      <vt:lpstr>Summary</vt:lpstr>
      <vt:lpstr>Pivot</vt:lpstr>
      <vt:lpstr>Transactions</vt:lpstr>
      <vt:lpstr>Transactions!AS1_1999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2021-05-21T18:06:53Z</cp:lastPrinted>
  <dcterms:created xsi:type="dcterms:W3CDTF">2009-09-04T18:19:13Z</dcterms:created>
  <dcterms:modified xsi:type="dcterms:W3CDTF">2026-05-21T19:11:03Z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6c50bb87-5e35-48e4-8c52-adbcd654b860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{99F2697C-8AA3-4853-90AC-D1EFBA06E9BE}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